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4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N:\HV System Planning\SYSTEMS ANALYSIS\_Planning\NSW Energy Security\Voltage Stability SWNSW\PADR\to publish\"/>
    </mc:Choice>
  </mc:AlternateContent>
  <bookViews>
    <workbookView xWindow="-105" yWindow="-105" windowWidth="38625" windowHeight="21225" activeTab="11"/>
  </bookViews>
  <sheets>
    <sheet name="Overview of the model" sheetId="9" r:id="rId1"/>
    <sheet name="Interface and charts" sheetId="6" state="hidden" r:id="rId2"/>
    <sheet name="For presentation" sheetId="33" state="hidden" r:id="rId3"/>
    <sheet name="Preliminary results" sheetId="13" state="hidden" r:id="rId4"/>
    <sheet name="Chart tables" sheetId="35" r:id="rId5"/>
    <sheet name="Option inputs" sheetId="11" r:id="rId6"/>
    <sheet name="CBA Inputs" sheetId="4" r:id="rId7"/>
    <sheet name="Central" sheetId="24" r:id="rId8"/>
    <sheet name="Slow" sheetId="26" r:id="rId9"/>
    <sheet name="Step" sheetId="25" r:id="rId10"/>
    <sheet name="Fast" sheetId="40" r:id="rId11"/>
    <sheet name="Weighted" sheetId="27" r:id="rId12"/>
    <sheet name="Weighted 2" sheetId="34" state="hidden" r:id="rId13"/>
  </sheets>
  <externalReferences>
    <externalReference r:id="rId14"/>
  </externalReferences>
  <definedNames>
    <definedName name="AGB_ACTIVE">[1]Calculation!#REF!</definedName>
    <definedName name="AnalysisPeriod">'Option inputs'!$E$10</definedName>
    <definedName name="AnnualisedCapex_ACTIVE">[1]Calculation!#REF!</definedName>
    <definedName name="BaseYear">'Option inputs'!$E$9</definedName>
    <definedName name="CapitalCost_ACTIVE">'CBA Inputs'!$K$13</definedName>
    <definedName name="CapitalCost_Base">'CBA Inputs'!$F$13</definedName>
    <definedName name="CapitalCost_High">'CBA Inputs'!$I$13</definedName>
    <definedName name="CapitalCost_Low">'CBA Inputs'!$H$13</definedName>
    <definedName name="CapitalCost_Selection">'CBA Inputs'!$J$13</definedName>
    <definedName name="Cost1_Selection">'[1]CBA Inputs'!$I$13</definedName>
    <definedName name="Cost2_Selection">'[1]CBA Inputs'!$I$14</definedName>
    <definedName name="DiscountRate_ACTIVE">'CBA Inputs'!$K$9</definedName>
    <definedName name="DiscountRate_Central">'CBA Inputs'!$F$9</definedName>
    <definedName name="DiscountRate_High">'CBA Inputs'!$I$9</definedName>
    <definedName name="DiscountRate_Low">'CBA Inputs'!$H$9</definedName>
    <definedName name="DiscountRate_Selection">'CBA Inputs'!$J$9</definedName>
    <definedName name="FirstYear">'Option inputs'!$E$8</definedName>
    <definedName name="NPV_Results_V" localSheetId="7">Central!$F$8:$F$13</definedName>
    <definedName name="NPV_Results_V" localSheetId="10">Fast!$F$8:$F$13</definedName>
    <definedName name="NPV_Results_V" localSheetId="8">Slow!$F$8:$F$13</definedName>
    <definedName name="NPV_Results_V" localSheetId="9">Step!$F$8:$F$13</definedName>
    <definedName name="NPV_Results_V" localSheetId="11">Weighted!$F$14:$F$19</definedName>
    <definedName name="NPV_Results_V" localSheetId="12">'Weighted 2'!$F$14:$F$23</definedName>
    <definedName name="NPV_Results_W">'Preliminary results'!#REF!</definedName>
    <definedName name="Scenario_Select">'Interface and charts'!$D$8</definedName>
    <definedName name="Scenario1_AGB" localSheetId="7">Central!#REF!</definedName>
    <definedName name="Scenario1_AGB" localSheetId="10">Fast!#REF!</definedName>
    <definedName name="Scenario1_AGB" localSheetId="8">Slow!#REF!</definedName>
    <definedName name="Scenario1_AGB" localSheetId="9">Step!#REF!</definedName>
    <definedName name="Scenario1_AGB" localSheetId="11">Weighted!#REF!</definedName>
    <definedName name="Scenario1_AGB" localSheetId="12">'Weighted 2'!#REF!</definedName>
    <definedName name="Scenario1_AnnualisedCapex" localSheetId="7">Central!#REF!</definedName>
    <definedName name="Scenario1_AnnualisedCapex" localSheetId="10">Fast!#REF!</definedName>
    <definedName name="Scenario1_AnnualisedCapex" localSheetId="8">Slow!#REF!</definedName>
    <definedName name="Scenario1_AnnualisedCapex" localSheetId="9">Step!#REF!</definedName>
    <definedName name="Scenario1_AnnualisedCapex" localSheetId="11">Weighted!#REF!</definedName>
    <definedName name="Scenario1_AnnualisedCapex" localSheetId="12">'Weighted 2'!#REF!</definedName>
    <definedName name="Scenario1_BreakdownResults">'Preliminary results'!#REF!</definedName>
    <definedName name="Scenario1_Results_H">'Preliminary results'!#REF!</definedName>
    <definedName name="Scenario2_AGB" localSheetId="7">Central!#REF!</definedName>
    <definedName name="Scenario2_AGB" localSheetId="10">Fast!#REF!</definedName>
    <definedName name="Scenario2_AGB" localSheetId="8">Slow!#REF!</definedName>
    <definedName name="Scenario2_AGB" localSheetId="9">Step!#REF!</definedName>
    <definedName name="Scenario2_AGB" localSheetId="11">Weighted!#REF!</definedName>
    <definedName name="Scenario2_AGB" localSheetId="12">'Weighted 2'!#REF!</definedName>
    <definedName name="Scenario2_AnnualisedCapex" localSheetId="7">Central!#REF!</definedName>
    <definedName name="Scenario2_AnnualisedCapex" localSheetId="10">Fast!#REF!</definedName>
    <definedName name="Scenario2_AnnualisedCapex" localSheetId="8">Slow!#REF!</definedName>
    <definedName name="Scenario2_AnnualisedCapex" localSheetId="9">Step!#REF!</definedName>
    <definedName name="Scenario2_AnnualisedCapex" localSheetId="11">Weighted!#REF!</definedName>
    <definedName name="Scenario2_AnnualisedCapex" localSheetId="12">'Weighted 2'!#REF!</definedName>
    <definedName name="Scenario2_BreakdownResults">'Preliminary results'!#REF!</definedName>
    <definedName name="Scenario2_Results_H">'Preliminary results'!#REF!</definedName>
    <definedName name="Scenario3_AnnualisedCapex" localSheetId="7">Central!#REF!</definedName>
    <definedName name="Scenario3_AnnualisedCapex" localSheetId="10">Fast!#REF!</definedName>
    <definedName name="Scenario3_AnnualisedCapex" localSheetId="8">Slow!#REF!</definedName>
    <definedName name="Scenario3_AnnualisedCapex" localSheetId="9">Step!#REF!</definedName>
    <definedName name="Scenario3_AnnualisedCapex" localSheetId="11">Weighted!#REF!</definedName>
    <definedName name="Scenario3_AnnualisedCapex" localSheetId="12">'Weighted 2'!#REF!</definedName>
    <definedName name="Scenario3_BreakdownResults">'Preliminary results'!#REF!</definedName>
    <definedName name="Scenario3_Results_H">'Preliminary results'!#REF!</definedName>
    <definedName name="Scenario4_AnnualisedCapex" localSheetId="7">Central!#REF!</definedName>
    <definedName name="Scenario4_AnnualisedCapex" localSheetId="10">Fast!#REF!</definedName>
    <definedName name="Scenario4_AnnualisedCapex" localSheetId="8">Slow!#REF!</definedName>
    <definedName name="Scenario4_AnnualisedCapex" localSheetId="9">Step!#REF!</definedName>
    <definedName name="Scenario4_AnnualisedCapex" localSheetId="11">Weighted!#REF!</definedName>
    <definedName name="Scenario4_AnnualisedCapex" localSheetId="12">'Weighted 2'!#REF!</definedName>
    <definedName name="Scenario4_BreakdownResults">'[1]Chart tables'!#REF!</definedName>
    <definedName name="Scenario4_Results_H">'[1]Chart tables'!#REF!</definedName>
    <definedName name="Sen_CapitalCost_Central">'Preliminary results'!#REF!</definedName>
    <definedName name="Sen_CapitalCost_High">'Preliminary results'!#REF!</definedName>
    <definedName name="Sen_CapitalCost_Low">'Preliminary results'!#REF!</definedName>
    <definedName name="Sen_DiscountRate_Central">'Preliminary results'!#REF!</definedName>
    <definedName name="Sen_DiscountRate_High">'Preliminary results'!#REF!</definedName>
    <definedName name="Sen_DiscountRate_Low">'Preliminary results'!#REF!</definedName>
    <definedName name="slow">[1]Calculation!#REF!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3" i="35" l="1"/>
  <c r="L112" i="35"/>
  <c r="L111" i="35"/>
  <c r="L110" i="35"/>
  <c r="L186" i="35"/>
  <c r="L185" i="35"/>
  <c r="L259" i="35"/>
  <c r="L257" i="35"/>
  <c r="L40" i="35"/>
  <c r="L38" i="35"/>
  <c r="L184" i="35"/>
  <c r="L258" i="35"/>
  <c r="AB93" i="34"/>
  <c r="AE117" i="34"/>
  <c r="Z145" i="34"/>
  <c r="AD145" i="34"/>
  <c r="L144" i="34"/>
  <c r="P144" i="34"/>
  <c r="Q144" i="34"/>
  <c r="L143" i="34"/>
  <c r="N142" i="34"/>
  <c r="K141" i="34"/>
  <c r="V132" i="34"/>
  <c r="AF132" i="34"/>
  <c r="S131" i="34"/>
  <c r="AB131" i="34"/>
  <c r="AD130" i="34"/>
  <c r="U129" i="34"/>
  <c r="AF129" i="34"/>
  <c r="AA128" i="34"/>
  <c r="S119" i="34"/>
  <c r="Z118" i="34"/>
  <c r="AC118" i="34"/>
  <c r="AD118" i="34"/>
  <c r="J116" i="34"/>
  <c r="N116" i="34"/>
  <c r="R116" i="34"/>
  <c r="T116" i="34"/>
  <c r="AC116" i="34"/>
  <c r="L115" i="34"/>
  <c r="W115" i="34"/>
  <c r="X115" i="34"/>
  <c r="AE115" i="34"/>
  <c r="S106" i="34"/>
  <c r="T106" i="34"/>
  <c r="M105" i="34"/>
  <c r="G94" i="34"/>
  <c r="H93" i="34"/>
  <c r="M93" i="34"/>
  <c r="AC93" i="34"/>
  <c r="AD92" i="34"/>
  <c r="I91" i="34"/>
  <c r="L91" i="34"/>
  <c r="P91" i="34"/>
  <c r="AC91" i="34"/>
  <c r="Q90" i="34"/>
  <c r="J89" i="34"/>
  <c r="Q89" i="34"/>
  <c r="AC89" i="34"/>
  <c r="AD89" i="34"/>
  <c r="H384" i="35"/>
  <c r="K384" i="35"/>
  <c r="H383" i="35"/>
  <c r="K383" i="35"/>
  <c r="H382" i="35"/>
  <c r="K382" i="35"/>
  <c r="H381" i="35"/>
  <c r="K381" i="35"/>
  <c r="H380" i="35"/>
  <c r="K380" i="35"/>
  <c r="H379" i="35"/>
  <c r="K379" i="35"/>
  <c r="B159" i="35"/>
  <c r="D6" i="35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W6" i="35"/>
  <c r="X6" i="35"/>
  <c r="Y6" i="35"/>
  <c r="Z6" i="35"/>
  <c r="AA6" i="35"/>
  <c r="AB6" i="35"/>
  <c r="B86" i="35"/>
  <c r="K419" i="35"/>
  <c r="K418" i="35"/>
  <c r="K417" i="35"/>
  <c r="K416" i="35"/>
  <c r="K415" i="35"/>
  <c r="K414" i="35"/>
  <c r="F20" i="11"/>
  <c r="F19" i="11"/>
  <c r="B261" i="35"/>
  <c r="B260" i="35"/>
  <c r="B259" i="35"/>
  <c r="B258" i="35"/>
  <c r="B257" i="35"/>
  <c r="B256" i="35"/>
  <c r="B237" i="35"/>
  <c r="B236" i="35"/>
  <c r="B235" i="35"/>
  <c r="B234" i="35"/>
  <c r="B233" i="35"/>
  <c r="B232" i="35"/>
  <c r="H390" i="35"/>
  <c r="H389" i="35"/>
  <c r="H388" i="35"/>
  <c r="H387" i="35"/>
  <c r="H386" i="35"/>
  <c r="H385" i="35"/>
  <c r="C390" i="35"/>
  <c r="C389" i="35"/>
  <c r="C388" i="35"/>
  <c r="C387" i="35"/>
  <c r="C386" i="35"/>
  <c r="C385" i="35"/>
  <c r="C384" i="35"/>
  <c r="C383" i="35"/>
  <c r="C382" i="35"/>
  <c r="C381" i="35"/>
  <c r="C380" i="35"/>
  <c r="C379" i="35"/>
  <c r="J328" i="35"/>
  <c r="I328" i="35"/>
  <c r="H328" i="35"/>
  <c r="G328" i="35"/>
  <c r="F328" i="35"/>
  <c r="E328" i="35"/>
  <c r="D328" i="35"/>
  <c r="B334" i="35"/>
  <c r="B333" i="35"/>
  <c r="B332" i="35"/>
  <c r="B331" i="35"/>
  <c r="B330" i="35"/>
  <c r="B329" i="35"/>
  <c r="B310" i="35"/>
  <c r="B309" i="35"/>
  <c r="B308" i="35"/>
  <c r="B307" i="35"/>
  <c r="B306" i="35"/>
  <c r="B305" i="35"/>
  <c r="J182" i="35"/>
  <c r="I182" i="35"/>
  <c r="H182" i="35"/>
  <c r="G182" i="35"/>
  <c r="F182" i="35"/>
  <c r="E182" i="35"/>
  <c r="D182" i="35"/>
  <c r="J109" i="35"/>
  <c r="J255" i="35"/>
  <c r="I109" i="35"/>
  <c r="I255" i="35"/>
  <c r="H109" i="35"/>
  <c r="H255" i="35"/>
  <c r="G109" i="35"/>
  <c r="G255" i="35"/>
  <c r="F109" i="35"/>
  <c r="F255" i="35"/>
  <c r="E109" i="35"/>
  <c r="E255" i="35"/>
  <c r="D109" i="35"/>
  <c r="D255" i="35"/>
  <c r="B188" i="35"/>
  <c r="B187" i="35"/>
  <c r="B186" i="35"/>
  <c r="B185" i="35"/>
  <c r="B184" i="35"/>
  <c r="B183" i="35"/>
  <c r="B164" i="35"/>
  <c r="B163" i="35"/>
  <c r="B162" i="35"/>
  <c r="B161" i="35"/>
  <c r="B160" i="35"/>
  <c r="B115" i="35"/>
  <c r="B114" i="35"/>
  <c r="B113" i="35"/>
  <c r="B112" i="35"/>
  <c r="B111" i="35"/>
  <c r="B110" i="35"/>
  <c r="B91" i="35"/>
  <c r="B90" i="35"/>
  <c r="B89" i="35"/>
  <c r="B88" i="35"/>
  <c r="B87" i="35"/>
  <c r="B42" i="35"/>
  <c r="B41" i="35"/>
  <c r="B40" i="35"/>
  <c r="B39" i="35"/>
  <c r="B38" i="35"/>
  <c r="B37" i="35"/>
  <c r="B18" i="35"/>
  <c r="B17" i="35"/>
  <c r="B16" i="35"/>
  <c r="B15" i="35"/>
  <c r="B14" i="35"/>
  <c r="B13" i="35"/>
  <c r="G14" i="6"/>
  <c r="H14" i="6"/>
  <c r="B14" i="6"/>
  <c r="C150" i="34"/>
  <c r="B150" i="34"/>
  <c r="C149" i="34"/>
  <c r="B149" i="34"/>
  <c r="C148" i="34"/>
  <c r="B148" i="34"/>
  <c r="C147" i="34"/>
  <c r="B147" i="34"/>
  <c r="C146" i="34"/>
  <c r="B15" i="11"/>
  <c r="B16" i="11"/>
  <c r="B17" i="11"/>
  <c r="B18" i="11"/>
  <c r="B19" i="11"/>
  <c r="B20" i="11"/>
  <c r="B146" i="34"/>
  <c r="C145" i="34"/>
  <c r="B145" i="34"/>
  <c r="C144" i="34"/>
  <c r="B144" i="34"/>
  <c r="C143" i="34"/>
  <c r="B143" i="34"/>
  <c r="C142" i="34"/>
  <c r="B142" i="34"/>
  <c r="C141" i="34"/>
  <c r="B141" i="34"/>
  <c r="B139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B126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B113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B100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B89" i="34"/>
  <c r="B87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B72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E60" i="34"/>
  <c r="G57" i="34"/>
  <c r="G56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AE54" i="34"/>
  <c r="AF54" i="34"/>
  <c r="H54" i="34"/>
  <c r="I54" i="34"/>
  <c r="J54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B1" i="34"/>
  <c r="G55" i="34"/>
  <c r="G73" i="34"/>
  <c r="G26" i="34"/>
  <c r="G60" i="34"/>
  <c r="G13" i="34"/>
  <c r="H57" i="34"/>
  <c r="G39" i="34"/>
  <c r="G127" i="34"/>
  <c r="G114" i="34"/>
  <c r="G101" i="34"/>
  <c r="G140" i="34"/>
  <c r="G88" i="34"/>
  <c r="I57" i="34"/>
  <c r="H55" i="34"/>
  <c r="H56" i="34"/>
  <c r="J10" i="13"/>
  <c r="J9" i="13"/>
  <c r="J8" i="13"/>
  <c r="J7" i="13"/>
  <c r="J6" i="13"/>
  <c r="B137" i="13"/>
  <c r="B136" i="13"/>
  <c r="B135" i="13"/>
  <c r="B134" i="13"/>
  <c r="B133" i="13"/>
  <c r="B132" i="13"/>
  <c r="B124" i="13"/>
  <c r="B123" i="13"/>
  <c r="B122" i="13"/>
  <c r="B121" i="13"/>
  <c r="B120" i="13"/>
  <c r="B119" i="13"/>
  <c r="B108" i="13"/>
  <c r="B107" i="13"/>
  <c r="B106" i="13"/>
  <c r="B105" i="13"/>
  <c r="B104" i="13"/>
  <c r="B103" i="13"/>
  <c r="B95" i="13"/>
  <c r="B94" i="13"/>
  <c r="B93" i="13"/>
  <c r="B92" i="13"/>
  <c r="B91" i="13"/>
  <c r="B90" i="13"/>
  <c r="B79" i="13"/>
  <c r="B78" i="13"/>
  <c r="B77" i="13"/>
  <c r="B76" i="13"/>
  <c r="B75" i="13"/>
  <c r="B74" i="13"/>
  <c r="B66" i="13"/>
  <c r="B65" i="13"/>
  <c r="B64" i="13"/>
  <c r="B63" i="13"/>
  <c r="B62" i="13"/>
  <c r="B61" i="13"/>
  <c r="B51" i="13"/>
  <c r="B50" i="13"/>
  <c r="B49" i="13"/>
  <c r="B48" i="13"/>
  <c r="B47" i="13"/>
  <c r="B46" i="13"/>
  <c r="B36" i="13"/>
  <c r="B35" i="13"/>
  <c r="B34" i="13"/>
  <c r="B33" i="13"/>
  <c r="B32" i="13"/>
  <c r="B31" i="13"/>
  <c r="B21" i="13"/>
  <c r="B20" i="13"/>
  <c r="B19" i="13"/>
  <c r="B18" i="13"/>
  <c r="B17" i="13"/>
  <c r="B16" i="13"/>
  <c r="K96" i="34"/>
  <c r="S96" i="34"/>
  <c r="AA96" i="34"/>
  <c r="AE96" i="34"/>
  <c r="M97" i="34"/>
  <c r="U97" i="34"/>
  <c r="AC97" i="34"/>
  <c r="K98" i="34"/>
  <c r="O98" i="34"/>
  <c r="W98" i="34"/>
  <c r="AE98" i="34"/>
  <c r="H96" i="34"/>
  <c r="P96" i="34"/>
  <c r="X96" i="34"/>
  <c r="AF96" i="34"/>
  <c r="N97" i="34"/>
  <c r="V97" i="34"/>
  <c r="Z97" i="34"/>
  <c r="H98" i="34"/>
  <c r="P98" i="34"/>
  <c r="X98" i="34"/>
  <c r="AF98" i="34"/>
  <c r="I96" i="34"/>
  <c r="M96" i="34"/>
  <c r="Q96" i="34"/>
  <c r="U96" i="34"/>
  <c r="Y96" i="34"/>
  <c r="AC96" i="34"/>
  <c r="G97" i="34"/>
  <c r="K97" i="34"/>
  <c r="O97" i="34"/>
  <c r="S97" i="34"/>
  <c r="W97" i="34"/>
  <c r="AA97" i="34"/>
  <c r="AE97" i="34"/>
  <c r="I98" i="34"/>
  <c r="M98" i="34"/>
  <c r="Q98" i="34"/>
  <c r="U98" i="34"/>
  <c r="Y98" i="34"/>
  <c r="AC98" i="34"/>
  <c r="G96" i="34"/>
  <c r="O96" i="34"/>
  <c r="W96" i="34"/>
  <c r="I97" i="34"/>
  <c r="Q97" i="34"/>
  <c r="Y97" i="34"/>
  <c r="G98" i="34"/>
  <c r="S98" i="34"/>
  <c r="AA98" i="34"/>
  <c r="L96" i="34"/>
  <c r="T96" i="34"/>
  <c r="AB96" i="34"/>
  <c r="J97" i="34"/>
  <c r="R97" i="34"/>
  <c r="AD97" i="34"/>
  <c r="L98" i="34"/>
  <c r="T98" i="34"/>
  <c r="AB98" i="34"/>
  <c r="J96" i="34"/>
  <c r="N96" i="34"/>
  <c r="R96" i="34"/>
  <c r="V96" i="34"/>
  <c r="Z96" i="34"/>
  <c r="AD96" i="34"/>
  <c r="H97" i="34"/>
  <c r="L97" i="34"/>
  <c r="P97" i="34"/>
  <c r="T97" i="34"/>
  <c r="X97" i="34"/>
  <c r="AB97" i="34"/>
  <c r="AF97" i="34"/>
  <c r="J98" i="34"/>
  <c r="N98" i="34"/>
  <c r="R98" i="34"/>
  <c r="V98" i="34"/>
  <c r="Z98" i="34"/>
  <c r="AD98" i="34"/>
  <c r="J95" i="34"/>
  <c r="J36" i="34"/>
  <c r="N95" i="34"/>
  <c r="R95" i="34"/>
  <c r="R35" i="34"/>
  <c r="V95" i="34"/>
  <c r="Z95" i="34"/>
  <c r="Z34" i="34"/>
  <c r="AD95" i="34"/>
  <c r="G95" i="34"/>
  <c r="G33" i="34"/>
  <c r="K95" i="34"/>
  <c r="O95" i="34"/>
  <c r="O34" i="34"/>
  <c r="S95" i="34"/>
  <c r="W95" i="34"/>
  <c r="W33" i="34"/>
  <c r="AA95" i="34"/>
  <c r="AE95" i="34"/>
  <c r="AE33" i="34"/>
  <c r="H95" i="34"/>
  <c r="L95" i="34"/>
  <c r="L36" i="34"/>
  <c r="P95" i="34"/>
  <c r="T95" i="34"/>
  <c r="T36" i="34"/>
  <c r="X95" i="34"/>
  <c r="AB95" i="34"/>
  <c r="AB34" i="34"/>
  <c r="AF95" i="34"/>
  <c r="AF33" i="34"/>
  <c r="I95" i="34"/>
  <c r="M95" i="34"/>
  <c r="Q95" i="34"/>
  <c r="Q33" i="34"/>
  <c r="U95" i="34"/>
  <c r="Y95" i="34"/>
  <c r="Y35" i="34"/>
  <c r="AC95" i="34"/>
  <c r="H73" i="34"/>
  <c r="H13" i="34"/>
  <c r="H39" i="34"/>
  <c r="H88" i="34"/>
  <c r="H26" i="34"/>
  <c r="H127" i="34"/>
  <c r="H60" i="34"/>
  <c r="H114" i="34"/>
  <c r="H140" i="34"/>
  <c r="H101" i="34"/>
  <c r="I56" i="34"/>
  <c r="I55" i="34"/>
  <c r="J57" i="34"/>
  <c r="AB91" i="34"/>
  <c r="J92" i="34"/>
  <c r="L93" i="34"/>
  <c r="O89" i="34"/>
  <c r="AE89" i="34"/>
  <c r="G91" i="34"/>
  <c r="AA91" i="34"/>
  <c r="I92" i="34"/>
  <c r="AC92" i="34"/>
  <c r="S93" i="34"/>
  <c r="X91" i="34"/>
  <c r="R92" i="34"/>
  <c r="Z92" i="34"/>
  <c r="O92" i="34"/>
  <c r="K89" i="34"/>
  <c r="S89" i="34"/>
  <c r="K91" i="34"/>
  <c r="S91" i="34"/>
  <c r="M92" i="34"/>
  <c r="G93" i="34"/>
  <c r="O93" i="34"/>
  <c r="W93" i="34"/>
  <c r="H91" i="34"/>
  <c r="N92" i="34"/>
  <c r="V92" i="34"/>
  <c r="X93" i="34"/>
  <c r="AF93" i="34"/>
  <c r="AB92" i="34"/>
  <c r="I13" i="34"/>
  <c r="I26" i="34"/>
  <c r="I114" i="34"/>
  <c r="I39" i="34"/>
  <c r="I127" i="34"/>
  <c r="I101" i="34"/>
  <c r="I140" i="34"/>
  <c r="I73" i="34"/>
  <c r="I88" i="34"/>
  <c r="I60" i="34"/>
  <c r="J56" i="34"/>
  <c r="K57" i="34"/>
  <c r="J55" i="34"/>
  <c r="J5" i="13"/>
  <c r="G89" i="34"/>
  <c r="K55" i="34"/>
  <c r="K56" i="34"/>
  <c r="L57" i="34"/>
  <c r="J114" i="34"/>
  <c r="J26" i="34"/>
  <c r="J140" i="34"/>
  <c r="J101" i="34"/>
  <c r="J39" i="34"/>
  <c r="J127" i="34"/>
  <c r="J13" i="34"/>
  <c r="J73" i="34"/>
  <c r="J88" i="34"/>
  <c r="J60" i="34"/>
  <c r="C93" i="33"/>
  <c r="L55" i="34"/>
  <c r="M57" i="34"/>
  <c r="L56" i="34"/>
  <c r="K101" i="34"/>
  <c r="K39" i="34"/>
  <c r="K140" i="34"/>
  <c r="K26" i="34"/>
  <c r="K114" i="34"/>
  <c r="K60" i="34"/>
  <c r="K127" i="34"/>
  <c r="K73" i="34"/>
  <c r="K13" i="34"/>
  <c r="K88" i="34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D109" i="33"/>
  <c r="D108" i="33"/>
  <c r="D107" i="33"/>
  <c r="D106" i="33"/>
  <c r="D105" i="33"/>
  <c r="D104" i="33"/>
  <c r="D103" i="33"/>
  <c r="D102" i="33"/>
  <c r="D101" i="33"/>
  <c r="D100" i="33"/>
  <c r="D99" i="33"/>
  <c r="D98" i="33"/>
  <c r="D97" i="33"/>
  <c r="D96" i="33"/>
  <c r="D95" i="33"/>
  <c r="D94" i="33"/>
  <c r="D93" i="33"/>
  <c r="M56" i="34"/>
  <c r="M55" i="34"/>
  <c r="N57" i="34"/>
  <c r="L114" i="34"/>
  <c r="L26" i="34"/>
  <c r="L140" i="34"/>
  <c r="L88" i="34"/>
  <c r="L127" i="34"/>
  <c r="L13" i="34"/>
  <c r="L101" i="34"/>
  <c r="L60" i="34"/>
  <c r="L73" i="34"/>
  <c r="L39" i="34"/>
  <c r="B5" i="33" a="1"/>
  <c r="B5" i="33"/>
  <c r="N56" i="34"/>
  <c r="O57" i="34"/>
  <c r="N55" i="34"/>
  <c r="M127" i="34"/>
  <c r="M101" i="34"/>
  <c r="M88" i="34"/>
  <c r="M26" i="34"/>
  <c r="M114" i="34"/>
  <c r="M73" i="34"/>
  <c r="M13" i="34"/>
  <c r="M140" i="34"/>
  <c r="M60" i="34"/>
  <c r="M39" i="34"/>
  <c r="B20" i="33"/>
  <c r="B16" i="33"/>
  <c r="B12" i="33"/>
  <c r="B8" i="33"/>
  <c r="B7" i="33"/>
  <c r="B19" i="33"/>
  <c r="B15" i="33"/>
  <c r="B11" i="33"/>
  <c r="B18" i="33"/>
  <c r="B14" i="33"/>
  <c r="B10" i="33"/>
  <c r="B6" i="33"/>
  <c r="B21" i="33"/>
  <c r="B17" i="33"/>
  <c r="B13" i="33"/>
  <c r="B9" i="33"/>
  <c r="N114" i="34"/>
  <c r="N39" i="34"/>
  <c r="N140" i="34"/>
  <c r="N88" i="34"/>
  <c r="N13" i="34"/>
  <c r="N127" i="34"/>
  <c r="N101" i="34"/>
  <c r="N26" i="34"/>
  <c r="N73" i="34"/>
  <c r="N60" i="34"/>
  <c r="O56" i="34"/>
  <c r="P57" i="34"/>
  <c r="O55" i="34"/>
  <c r="P55" i="34"/>
  <c r="P56" i="34"/>
  <c r="Q57" i="34"/>
  <c r="O101" i="34"/>
  <c r="O60" i="34"/>
  <c r="O88" i="34"/>
  <c r="O26" i="34"/>
  <c r="O127" i="34"/>
  <c r="O140" i="34"/>
  <c r="O13" i="34"/>
  <c r="O114" i="34"/>
  <c r="O73" i="34"/>
  <c r="O39" i="34"/>
  <c r="F18" i="11"/>
  <c r="F17" i="11"/>
  <c r="F16" i="11"/>
  <c r="F15" i="11"/>
  <c r="Q56" i="34"/>
  <c r="R57" i="34"/>
  <c r="Q55" i="34"/>
  <c r="P114" i="34"/>
  <c r="P26" i="34"/>
  <c r="P73" i="34"/>
  <c r="P39" i="34"/>
  <c r="P88" i="34"/>
  <c r="P127" i="34"/>
  <c r="P101" i="34"/>
  <c r="P60" i="34"/>
  <c r="P13" i="34"/>
  <c r="P140" i="34"/>
  <c r="AE150" i="34"/>
  <c r="G109" i="34"/>
  <c r="O150" i="34"/>
  <c r="Z135" i="34"/>
  <c r="G110" i="34"/>
  <c r="AA150" i="34"/>
  <c r="W150" i="34"/>
  <c r="Q101" i="34"/>
  <c r="Q39" i="34"/>
  <c r="Q60" i="34"/>
  <c r="Q140" i="34"/>
  <c r="Q114" i="34"/>
  <c r="Q26" i="34"/>
  <c r="Q127" i="34"/>
  <c r="Q88" i="34"/>
  <c r="Q73" i="34"/>
  <c r="Q13" i="34"/>
  <c r="R55" i="34"/>
  <c r="S57" i="34"/>
  <c r="R56" i="34"/>
  <c r="M122" i="34"/>
  <c r="N134" i="34"/>
  <c r="AD134" i="34"/>
  <c r="AF144" i="34"/>
  <c r="AB142" i="34"/>
  <c r="L136" i="34"/>
  <c r="AB136" i="34"/>
  <c r="T149" i="34"/>
  <c r="J123" i="34"/>
  <c r="Z123" i="34"/>
  <c r="W122" i="34"/>
  <c r="Q148" i="34"/>
  <c r="V134" i="34"/>
  <c r="P147" i="34"/>
  <c r="S150" i="34"/>
  <c r="AA123" i="34"/>
  <c r="O136" i="34"/>
  <c r="O123" i="34"/>
  <c r="U136" i="34"/>
  <c r="X149" i="34"/>
  <c r="M135" i="34"/>
  <c r="T122" i="34"/>
  <c r="N135" i="34"/>
  <c r="AD135" i="34"/>
  <c r="U122" i="34"/>
  <c r="R122" i="34"/>
  <c r="H135" i="34"/>
  <c r="X135" i="34"/>
  <c r="T148" i="34"/>
  <c r="M121" i="34"/>
  <c r="AC121" i="34"/>
  <c r="S134" i="34"/>
  <c r="J121" i="34"/>
  <c r="Z121" i="34"/>
  <c r="M134" i="34"/>
  <c r="AC134" i="34"/>
  <c r="V147" i="34"/>
  <c r="K147" i="34"/>
  <c r="AA147" i="34"/>
  <c r="I147" i="34"/>
  <c r="Y147" i="34"/>
  <c r="I124" i="34"/>
  <c r="Y124" i="34"/>
  <c r="O137" i="34"/>
  <c r="AE137" i="34"/>
  <c r="N124" i="34"/>
  <c r="AD124" i="34"/>
  <c r="S124" i="34"/>
  <c r="I137" i="34"/>
  <c r="Y137" i="34"/>
  <c r="AB150" i="34"/>
  <c r="AD150" i="34"/>
  <c r="O131" i="34"/>
  <c r="U144" i="34"/>
  <c r="AD131" i="34"/>
  <c r="J118" i="34"/>
  <c r="AF105" i="34"/>
  <c r="Q130" i="34"/>
  <c r="H143" i="34"/>
  <c r="X143" i="34"/>
  <c r="AC143" i="34"/>
  <c r="AF143" i="34"/>
  <c r="L128" i="34"/>
  <c r="W141" i="34"/>
  <c r="R128" i="34"/>
  <c r="I141" i="34"/>
  <c r="Y141" i="34"/>
  <c r="L116" i="34"/>
  <c r="K123" i="34"/>
  <c r="Q136" i="34"/>
  <c r="AE136" i="34"/>
  <c r="M129" i="34"/>
  <c r="P136" i="34"/>
  <c r="AE123" i="34"/>
  <c r="S136" i="34"/>
  <c r="H149" i="34"/>
  <c r="U149" i="34"/>
  <c r="R149" i="34"/>
  <c r="N123" i="34"/>
  <c r="AD123" i="34"/>
  <c r="AA122" i="34"/>
  <c r="R135" i="34"/>
  <c r="O135" i="34"/>
  <c r="AE135" i="34"/>
  <c r="P121" i="34"/>
  <c r="T134" i="34"/>
  <c r="M124" i="34"/>
  <c r="AC124" i="34"/>
  <c r="R144" i="34"/>
  <c r="S130" i="34"/>
  <c r="AD143" i="34"/>
  <c r="J143" i="34"/>
  <c r="AB143" i="34"/>
  <c r="Q143" i="34"/>
  <c r="I145" i="34"/>
  <c r="W145" i="34"/>
  <c r="J145" i="34"/>
  <c r="Q132" i="34"/>
  <c r="O132" i="34"/>
  <c r="AC132" i="34"/>
  <c r="W119" i="34"/>
  <c r="AF119" i="34"/>
  <c r="N119" i="34"/>
  <c r="AE119" i="34"/>
  <c r="O119" i="34"/>
  <c r="N106" i="34"/>
  <c r="L110" i="34"/>
  <c r="N110" i="34"/>
  <c r="N136" i="34"/>
  <c r="AC123" i="34"/>
  <c r="AA149" i="34"/>
  <c r="M109" i="34"/>
  <c r="V109" i="34"/>
  <c r="AA109" i="34"/>
  <c r="K135" i="34"/>
  <c r="AA135" i="34"/>
  <c r="J148" i="34"/>
  <c r="Z148" i="34"/>
  <c r="O148" i="34"/>
  <c r="AE148" i="34"/>
  <c r="T137" i="34"/>
  <c r="X124" i="34"/>
  <c r="AF109" i="34"/>
  <c r="J131" i="34"/>
  <c r="AD144" i="34"/>
  <c r="I118" i="34"/>
  <c r="Y118" i="34"/>
  <c r="Q131" i="34"/>
  <c r="AF134" i="34"/>
  <c r="S143" i="34"/>
  <c r="J117" i="34"/>
  <c r="M106" i="34"/>
  <c r="U145" i="34"/>
  <c r="K132" i="34"/>
  <c r="Y145" i="34"/>
  <c r="AB132" i="34"/>
  <c r="J119" i="34"/>
  <c r="AB110" i="34"/>
  <c r="U110" i="34"/>
  <c r="AD110" i="34"/>
  <c r="S110" i="34"/>
  <c r="T123" i="34"/>
  <c r="AD136" i="34"/>
  <c r="M123" i="34"/>
  <c r="K149" i="34"/>
  <c r="AC109" i="34"/>
  <c r="K109" i="34"/>
  <c r="P109" i="34"/>
  <c r="AC135" i="34"/>
  <c r="L121" i="34"/>
  <c r="AB121" i="34"/>
  <c r="P134" i="34"/>
  <c r="W121" i="34"/>
  <c r="H124" i="34"/>
  <c r="S129" i="34"/>
  <c r="AD116" i="34"/>
  <c r="J142" i="34"/>
  <c r="I129" i="34"/>
  <c r="W142" i="34"/>
  <c r="H110" i="34"/>
  <c r="X110" i="34"/>
  <c r="Q110" i="34"/>
  <c r="J110" i="34"/>
  <c r="Z110" i="34"/>
  <c r="O110" i="34"/>
  <c r="AE110" i="34"/>
  <c r="V123" i="34"/>
  <c r="P123" i="34"/>
  <c r="J136" i="34"/>
  <c r="Z136" i="34"/>
  <c r="I123" i="34"/>
  <c r="Y123" i="34"/>
  <c r="Q149" i="34"/>
  <c r="N149" i="34"/>
  <c r="AD149" i="34"/>
  <c r="W149" i="34"/>
  <c r="R137" i="34"/>
  <c r="L150" i="34"/>
  <c r="U150" i="34"/>
  <c r="N150" i="34"/>
  <c r="AF150" i="34"/>
  <c r="AF136" i="34"/>
  <c r="AF128" i="34"/>
  <c r="N129" i="34"/>
  <c r="AC142" i="34"/>
  <c r="O142" i="34"/>
  <c r="AE142" i="34"/>
  <c r="T136" i="34"/>
  <c r="Y136" i="34"/>
  <c r="X123" i="34"/>
  <c r="R136" i="34"/>
  <c r="W136" i="34"/>
  <c r="AB149" i="34"/>
  <c r="Y149" i="34"/>
  <c r="V149" i="34"/>
  <c r="O149" i="34"/>
  <c r="Q109" i="34"/>
  <c r="Z109" i="34"/>
  <c r="T109" i="34"/>
  <c r="K122" i="34"/>
  <c r="H122" i="34"/>
  <c r="X122" i="34"/>
  <c r="I122" i="34"/>
  <c r="Y122" i="34"/>
  <c r="V122" i="34"/>
  <c r="AB135" i="34"/>
  <c r="U148" i="34"/>
  <c r="AD148" i="34"/>
  <c r="S148" i="34"/>
  <c r="H148" i="34"/>
  <c r="J134" i="34"/>
  <c r="Q121" i="34"/>
  <c r="W134" i="34"/>
  <c r="AD121" i="34"/>
  <c r="K121" i="34"/>
  <c r="AA121" i="34"/>
  <c r="Q134" i="34"/>
  <c r="Z147" i="34"/>
  <c r="O147" i="34"/>
  <c r="AE147" i="34"/>
  <c r="T147" i="34"/>
  <c r="M147" i="34"/>
  <c r="AC147" i="34"/>
  <c r="R124" i="34"/>
  <c r="H137" i="34"/>
  <c r="AC137" i="34"/>
  <c r="AF122" i="34"/>
  <c r="J144" i="34"/>
  <c r="R131" i="34"/>
  <c r="AC144" i="34"/>
  <c r="AA131" i="34"/>
  <c r="I144" i="34"/>
  <c r="T131" i="34"/>
  <c r="K144" i="34"/>
  <c r="AA144" i="34"/>
  <c r="AB144" i="34"/>
  <c r="AF121" i="34"/>
  <c r="H117" i="34"/>
  <c r="L130" i="34"/>
  <c r="O143" i="34"/>
  <c r="AD117" i="34"/>
  <c r="U130" i="34"/>
  <c r="AF104" i="34"/>
  <c r="AA132" i="34"/>
  <c r="Z106" i="34"/>
  <c r="U132" i="34"/>
  <c r="AC145" i="34"/>
  <c r="K145" i="34"/>
  <c r="AA145" i="34"/>
  <c r="I132" i="34"/>
  <c r="AF106" i="34"/>
  <c r="AF111" i="34"/>
  <c r="AF142" i="34"/>
  <c r="AF110" i="34"/>
  <c r="AD115" i="34"/>
  <c r="N115" i="34"/>
  <c r="I115" i="34"/>
  <c r="T128" i="34"/>
  <c r="J115" i="34"/>
  <c r="AC115" i="34"/>
  <c r="O115" i="34"/>
  <c r="V128" i="34"/>
  <c r="O128" i="34"/>
  <c r="AE128" i="34"/>
  <c r="K128" i="34"/>
  <c r="R141" i="34"/>
  <c r="Q129" i="34"/>
  <c r="T142" i="34"/>
  <c r="H142" i="34"/>
  <c r="P110" i="34"/>
  <c r="I110" i="34"/>
  <c r="Y110" i="34"/>
  <c r="R110" i="34"/>
  <c r="W110" i="34"/>
  <c r="S123" i="34"/>
  <c r="I136" i="34"/>
  <c r="H123" i="34"/>
  <c r="Q123" i="34"/>
  <c r="L149" i="34"/>
  <c r="I149" i="34"/>
  <c r="AE149" i="34"/>
  <c r="J109" i="34"/>
  <c r="O109" i="34"/>
  <c r="AE109" i="34"/>
  <c r="Q135" i="34"/>
  <c r="L135" i="34"/>
  <c r="N148" i="34"/>
  <c r="X148" i="34"/>
  <c r="Z134" i="34"/>
  <c r="N121" i="34"/>
  <c r="J147" i="34"/>
  <c r="S137" i="34"/>
  <c r="X137" i="34"/>
  <c r="W124" i="34"/>
  <c r="M137" i="34"/>
  <c r="L124" i="34"/>
  <c r="AB124" i="34"/>
  <c r="V137" i="34"/>
  <c r="K150" i="34"/>
  <c r="P150" i="34"/>
  <c r="I150" i="34"/>
  <c r="Y150" i="34"/>
  <c r="R150" i="34"/>
  <c r="N118" i="34"/>
  <c r="AA129" i="34"/>
  <c r="V116" i="34"/>
  <c r="H116" i="34"/>
  <c r="X116" i="34"/>
  <c r="J129" i="34"/>
  <c r="X129" i="34"/>
  <c r="T110" i="34"/>
  <c r="M110" i="34"/>
  <c r="AC110" i="34"/>
  <c r="V110" i="34"/>
  <c r="K110" i="34"/>
  <c r="AA110" i="34"/>
  <c r="R123" i="34"/>
  <c r="H136" i="34"/>
  <c r="X136" i="34"/>
  <c r="W123" i="34"/>
  <c r="M136" i="34"/>
  <c r="AC136" i="34"/>
  <c r="L123" i="34"/>
  <c r="AB123" i="34"/>
  <c r="V136" i="34"/>
  <c r="U123" i="34"/>
  <c r="K136" i="34"/>
  <c r="AA136" i="34"/>
  <c r="P149" i="34"/>
  <c r="M149" i="34"/>
  <c r="AC149" i="34"/>
  <c r="J149" i="34"/>
  <c r="Z149" i="34"/>
  <c r="S149" i="34"/>
  <c r="U109" i="34"/>
  <c r="N109" i="34"/>
  <c r="AD109" i="34"/>
  <c r="S109" i="34"/>
  <c r="H109" i="34"/>
  <c r="X109" i="34"/>
  <c r="O122" i="34"/>
  <c r="AE122" i="34"/>
  <c r="U135" i="34"/>
  <c r="L122" i="34"/>
  <c r="AB122" i="34"/>
  <c r="V135" i="34"/>
  <c r="AC122" i="34"/>
  <c r="S135" i="34"/>
  <c r="J122" i="34"/>
  <c r="Z122" i="34"/>
  <c r="P135" i="34"/>
  <c r="I148" i="34"/>
  <c r="Y148" i="34"/>
  <c r="R148" i="34"/>
  <c r="W148" i="34"/>
  <c r="L148" i="34"/>
  <c r="AB148" i="34"/>
  <c r="T121" i="34"/>
  <c r="U121" i="34"/>
  <c r="K134" i="34"/>
  <c r="AA134" i="34"/>
  <c r="R121" i="34"/>
  <c r="H134" i="34"/>
  <c r="X134" i="34"/>
  <c r="O121" i="34"/>
  <c r="AE121" i="34"/>
  <c r="U134" i="34"/>
  <c r="N147" i="34"/>
  <c r="AD147" i="34"/>
  <c r="S147" i="34"/>
  <c r="H147" i="34"/>
  <c r="X147" i="34"/>
  <c r="Q147" i="34"/>
  <c r="Q124" i="34"/>
  <c r="W137" i="34"/>
  <c r="V124" i="34"/>
  <c r="L137" i="34"/>
  <c r="AB137" i="34"/>
  <c r="K124" i="34"/>
  <c r="AA124" i="34"/>
  <c r="Q137" i="34"/>
  <c r="P124" i="34"/>
  <c r="J137" i="34"/>
  <c r="Z137" i="34"/>
  <c r="T150" i="34"/>
  <c r="M150" i="34"/>
  <c r="AC150" i="34"/>
  <c r="V150" i="34"/>
  <c r="AF148" i="34"/>
  <c r="W131" i="34"/>
  <c r="W118" i="34"/>
  <c r="X118" i="34"/>
  <c r="N144" i="34"/>
  <c r="N131" i="34"/>
  <c r="Q118" i="34"/>
  <c r="O144" i="34"/>
  <c r="AE144" i="34"/>
  <c r="I131" i="34"/>
  <c r="Y131" i="34"/>
  <c r="AF147" i="34"/>
  <c r="K143" i="34"/>
  <c r="M117" i="34"/>
  <c r="X130" i="34"/>
  <c r="P117" i="34"/>
  <c r="I117" i="34"/>
  <c r="T130" i="34"/>
  <c r="W143" i="34"/>
  <c r="O130" i="34"/>
  <c r="R143" i="34"/>
  <c r="R117" i="34"/>
  <c r="I130" i="34"/>
  <c r="Y130" i="34"/>
  <c r="P143" i="34"/>
  <c r="W117" i="34"/>
  <c r="U143" i="34"/>
  <c r="AF117" i="34"/>
  <c r="AC106" i="34"/>
  <c r="V106" i="34"/>
  <c r="X106" i="34"/>
  <c r="J106" i="34"/>
  <c r="Q119" i="34"/>
  <c r="AE132" i="34"/>
  <c r="H132" i="34"/>
  <c r="R119" i="34"/>
  <c r="N145" i="34"/>
  <c r="AB119" i="34"/>
  <c r="K119" i="34"/>
  <c r="H145" i="34"/>
  <c r="H106" i="34"/>
  <c r="O145" i="34"/>
  <c r="AE145" i="34"/>
  <c r="L106" i="34"/>
  <c r="U119" i="34"/>
  <c r="N132" i="34"/>
  <c r="X119" i="34"/>
  <c r="AF145" i="34"/>
  <c r="AF124" i="34"/>
  <c r="AF149" i="34"/>
  <c r="Q115" i="34"/>
  <c r="AB128" i="34"/>
  <c r="H128" i="34"/>
  <c r="S141" i="34"/>
  <c r="S115" i="34"/>
  <c r="J128" i="34"/>
  <c r="Z128" i="34"/>
  <c r="J141" i="34"/>
  <c r="Z141" i="34"/>
  <c r="AF102" i="34"/>
  <c r="I109" i="34"/>
  <c r="Y109" i="34"/>
  <c r="R109" i="34"/>
  <c r="W109" i="34"/>
  <c r="L109" i="34"/>
  <c r="AB109" i="34"/>
  <c r="S122" i="34"/>
  <c r="I135" i="34"/>
  <c r="Y135" i="34"/>
  <c r="P122" i="34"/>
  <c r="J135" i="34"/>
  <c r="Q122" i="34"/>
  <c r="W135" i="34"/>
  <c r="N122" i="34"/>
  <c r="AD122" i="34"/>
  <c r="T135" i="34"/>
  <c r="M148" i="34"/>
  <c r="AC148" i="34"/>
  <c r="V148" i="34"/>
  <c r="K148" i="34"/>
  <c r="AA148" i="34"/>
  <c r="P148" i="34"/>
  <c r="H121" i="34"/>
  <c r="X121" i="34"/>
  <c r="R134" i="34"/>
  <c r="I121" i="34"/>
  <c r="Y121" i="34"/>
  <c r="O134" i="34"/>
  <c r="AE134" i="34"/>
  <c r="V121" i="34"/>
  <c r="L134" i="34"/>
  <c r="AB134" i="34"/>
  <c r="S121" i="34"/>
  <c r="I134" i="34"/>
  <c r="Y134" i="34"/>
  <c r="R147" i="34"/>
  <c r="W147" i="34"/>
  <c r="L147" i="34"/>
  <c r="AB147" i="34"/>
  <c r="U147" i="34"/>
  <c r="U124" i="34"/>
  <c r="K137" i="34"/>
  <c r="AA137" i="34"/>
  <c r="J124" i="34"/>
  <c r="Z124" i="34"/>
  <c r="P137" i="34"/>
  <c r="O124" i="34"/>
  <c r="AE124" i="34"/>
  <c r="U137" i="34"/>
  <c r="T124" i="34"/>
  <c r="N137" i="34"/>
  <c r="AD137" i="34"/>
  <c r="H150" i="34"/>
  <c r="X150" i="34"/>
  <c r="Q150" i="34"/>
  <c r="J150" i="34"/>
  <c r="Z150" i="34"/>
  <c r="AF135" i="34"/>
  <c r="L118" i="34"/>
  <c r="Z144" i="34"/>
  <c r="AB118" i="34"/>
  <c r="K131" i="34"/>
  <c r="V144" i="34"/>
  <c r="K118" i="34"/>
  <c r="V131" i="34"/>
  <c r="Y144" i="34"/>
  <c r="S144" i="34"/>
  <c r="V118" i="34"/>
  <c r="AC131" i="34"/>
  <c r="T144" i="34"/>
  <c r="AF108" i="34"/>
  <c r="AA143" i="34"/>
  <c r="X117" i="34"/>
  <c r="N143" i="34"/>
  <c r="Q117" i="34"/>
  <c r="AB130" i="34"/>
  <c r="AE143" i="34"/>
  <c r="T117" i="34"/>
  <c r="W130" i="34"/>
  <c r="Z143" i="34"/>
  <c r="V117" i="34"/>
  <c r="M130" i="34"/>
  <c r="AC130" i="34"/>
  <c r="T143" i="34"/>
  <c r="K117" i="34"/>
  <c r="AA117" i="34"/>
  <c r="I143" i="34"/>
  <c r="Y143" i="34"/>
  <c r="Q106" i="34"/>
  <c r="R145" i="34"/>
  <c r="I106" i="34"/>
  <c r="AD106" i="34"/>
  <c r="AA119" i="34"/>
  <c r="M145" i="34"/>
  <c r="P119" i="34"/>
  <c r="Q145" i="34"/>
  <c r="I119" i="34"/>
  <c r="AD119" i="34"/>
  <c r="W132" i="34"/>
  <c r="S145" i="34"/>
  <c r="L132" i="34"/>
  <c r="Z119" i="34"/>
  <c r="S132" i="34"/>
  <c r="L145" i="34"/>
  <c r="AB145" i="34"/>
  <c r="P106" i="34"/>
  <c r="AF137" i="34"/>
  <c r="AF116" i="34"/>
  <c r="AF123" i="34"/>
  <c r="Y115" i="34"/>
  <c r="O141" i="34"/>
  <c r="Z115" i="34"/>
  <c r="P128" i="34"/>
  <c r="AA141" i="34"/>
  <c r="N128" i="34"/>
  <c r="AD128" i="34"/>
  <c r="U141" i="34"/>
  <c r="AB115" i="34"/>
  <c r="W128" i="34"/>
  <c r="N141" i="34"/>
  <c r="AD141" i="34"/>
  <c r="AF115" i="34"/>
  <c r="T57" i="34"/>
  <c r="S55" i="34"/>
  <c r="S56" i="34"/>
  <c r="R73" i="34"/>
  <c r="R88" i="34"/>
  <c r="R114" i="34"/>
  <c r="R26" i="34"/>
  <c r="R140" i="34"/>
  <c r="R101" i="34"/>
  <c r="R60" i="34"/>
  <c r="R127" i="34"/>
  <c r="R39" i="34"/>
  <c r="R13" i="34"/>
  <c r="S31" i="34"/>
  <c r="F98" i="34"/>
  <c r="AF36" i="34"/>
  <c r="AF35" i="34"/>
  <c r="AF34" i="34"/>
  <c r="F109" i="34"/>
  <c r="F95" i="34"/>
  <c r="F97" i="34"/>
  <c r="F96" i="34"/>
  <c r="F110" i="34"/>
  <c r="S88" i="34"/>
  <c r="S140" i="34"/>
  <c r="S127" i="34"/>
  <c r="S73" i="34"/>
  <c r="S60" i="34"/>
  <c r="S114" i="34"/>
  <c r="S26" i="34"/>
  <c r="S39" i="34"/>
  <c r="S101" i="34"/>
  <c r="S13" i="34"/>
  <c r="T56" i="34"/>
  <c r="T55" i="34"/>
  <c r="U57" i="34"/>
  <c r="T127" i="34"/>
  <c r="T114" i="34"/>
  <c r="T26" i="34"/>
  <c r="T101" i="34"/>
  <c r="T60" i="34"/>
  <c r="T73" i="34"/>
  <c r="T140" i="34"/>
  <c r="T39" i="34"/>
  <c r="T13" i="34"/>
  <c r="T88" i="34"/>
  <c r="V57" i="34"/>
  <c r="U56" i="34"/>
  <c r="U55" i="34"/>
  <c r="V56" i="34"/>
  <c r="W57" i="34"/>
  <c r="V55" i="34"/>
  <c r="U88" i="34"/>
  <c r="U60" i="34"/>
  <c r="U13" i="34"/>
  <c r="U73" i="34"/>
  <c r="U140" i="34"/>
  <c r="U114" i="34"/>
  <c r="U26" i="34"/>
  <c r="U127" i="34"/>
  <c r="U101" i="34"/>
  <c r="U39" i="34"/>
  <c r="V127" i="34"/>
  <c r="V88" i="34"/>
  <c r="V13" i="34"/>
  <c r="V73" i="34"/>
  <c r="V60" i="34"/>
  <c r="V114" i="34"/>
  <c r="V39" i="34"/>
  <c r="V140" i="34"/>
  <c r="V101" i="34"/>
  <c r="V26" i="34"/>
  <c r="X57" i="34"/>
  <c r="W55" i="34"/>
  <c r="W56" i="34"/>
  <c r="X55" i="34"/>
  <c r="X56" i="34"/>
  <c r="Y57" i="34"/>
  <c r="W101" i="34"/>
  <c r="W39" i="34"/>
  <c r="W140" i="34"/>
  <c r="W88" i="34"/>
  <c r="W127" i="34"/>
  <c r="W73" i="34"/>
  <c r="W26" i="34"/>
  <c r="W114" i="34"/>
  <c r="W60" i="34"/>
  <c r="W13" i="34"/>
  <c r="Y56" i="34"/>
  <c r="Z57" i="34"/>
  <c r="Y55" i="34"/>
  <c r="X127" i="34"/>
  <c r="X39" i="34"/>
  <c r="X114" i="34"/>
  <c r="X88" i="34"/>
  <c r="X73" i="34"/>
  <c r="X26" i="34"/>
  <c r="X140" i="34"/>
  <c r="X13" i="34"/>
  <c r="X101" i="34"/>
  <c r="X60" i="34"/>
  <c r="Y101" i="34"/>
  <c r="Y26" i="34"/>
  <c r="Y127" i="34"/>
  <c r="Y140" i="34"/>
  <c r="Y60" i="34"/>
  <c r="Y13" i="34"/>
  <c r="Y39" i="34"/>
  <c r="Y88" i="34"/>
  <c r="Y114" i="34"/>
  <c r="Y73" i="34"/>
  <c r="Z55" i="34"/>
  <c r="AA57" i="34"/>
  <c r="Z56" i="34"/>
  <c r="AB57" i="34"/>
  <c r="AA55" i="34"/>
  <c r="AA56" i="34"/>
  <c r="Z73" i="34"/>
  <c r="Z60" i="34"/>
  <c r="Z101" i="34"/>
  <c r="Z26" i="34"/>
  <c r="Z127" i="34"/>
  <c r="Z88" i="34"/>
  <c r="Z114" i="34"/>
  <c r="Z39" i="34"/>
  <c r="Z140" i="34"/>
  <c r="Z13" i="34"/>
  <c r="G130" i="34"/>
  <c r="G137" i="34"/>
  <c r="AA101" i="34"/>
  <c r="AA39" i="34"/>
  <c r="AA127" i="34"/>
  <c r="AA73" i="34"/>
  <c r="AA13" i="34"/>
  <c r="AA140" i="34"/>
  <c r="AA26" i="34"/>
  <c r="AA114" i="34"/>
  <c r="AA88" i="34"/>
  <c r="AA60" i="34"/>
  <c r="AB55" i="34"/>
  <c r="AB56" i="34"/>
  <c r="AC57" i="34"/>
  <c r="G118" i="34"/>
  <c r="G117" i="34"/>
  <c r="G145" i="34"/>
  <c r="G123" i="34"/>
  <c r="G136" i="34"/>
  <c r="G116" i="34"/>
  <c r="G133" i="34"/>
  <c r="G135" i="34"/>
  <c r="G121" i="34"/>
  <c r="G122" i="34"/>
  <c r="G129" i="34"/>
  <c r="G148" i="34"/>
  <c r="G147" i="34"/>
  <c r="G143" i="34"/>
  <c r="G119" i="34"/>
  <c r="G124" i="34"/>
  <c r="G134" i="34"/>
  <c r="G132" i="34"/>
  <c r="G131" i="34"/>
  <c r="G150" i="34"/>
  <c r="G149" i="34"/>
  <c r="F124" i="34"/>
  <c r="F150" i="34"/>
  <c r="F122" i="34"/>
  <c r="F135" i="34"/>
  <c r="F148" i="34"/>
  <c r="F137" i="34"/>
  <c r="F149" i="34"/>
  <c r="F121" i="34"/>
  <c r="F136" i="34"/>
  <c r="F123" i="34"/>
  <c r="F134" i="34"/>
  <c r="F147" i="34"/>
  <c r="AB127" i="34"/>
  <c r="AB26" i="34"/>
  <c r="AB39" i="34"/>
  <c r="AB101" i="34"/>
  <c r="AB114" i="34"/>
  <c r="AB73" i="34"/>
  <c r="AB88" i="34"/>
  <c r="AB140" i="34"/>
  <c r="AB60" i="34"/>
  <c r="AB13" i="34"/>
  <c r="AD57" i="34"/>
  <c r="AC55" i="34"/>
  <c r="AC56" i="34"/>
  <c r="AE57" i="34"/>
  <c r="AD55" i="34"/>
  <c r="AD56" i="34"/>
  <c r="AC88" i="34"/>
  <c r="AC73" i="34"/>
  <c r="AC26" i="34"/>
  <c r="AC60" i="34"/>
  <c r="AC13" i="34"/>
  <c r="AC127" i="34"/>
  <c r="AC39" i="34"/>
  <c r="AC114" i="34"/>
  <c r="AC101" i="34"/>
  <c r="AC140" i="34"/>
  <c r="AD140" i="34"/>
  <c r="AD60" i="34"/>
  <c r="AD13" i="34"/>
  <c r="AD127" i="34"/>
  <c r="AD101" i="34"/>
  <c r="AD26" i="34"/>
  <c r="AD73" i="34"/>
  <c r="AD88" i="34"/>
  <c r="AD114" i="34"/>
  <c r="AD39" i="34"/>
  <c r="AE56" i="34"/>
  <c r="AF57" i="34"/>
  <c r="AE55" i="34"/>
  <c r="G70" i="34"/>
  <c r="G69" i="34"/>
  <c r="G68" i="34"/>
  <c r="G67" i="34"/>
  <c r="G49" i="34"/>
  <c r="AE88" i="34"/>
  <c r="AE13" i="34"/>
  <c r="AE127" i="34"/>
  <c r="AE73" i="34"/>
  <c r="AE140" i="34"/>
  <c r="AE114" i="34"/>
  <c r="AE60" i="34"/>
  <c r="AE39" i="34"/>
  <c r="AE101" i="34"/>
  <c r="AE26" i="34"/>
  <c r="AF56" i="34"/>
  <c r="AF55" i="34"/>
  <c r="G47" i="34"/>
  <c r="H69" i="34"/>
  <c r="G46" i="34"/>
  <c r="G48" i="34"/>
  <c r="AF140" i="34"/>
  <c r="AF60" i="34"/>
  <c r="AF13" i="34"/>
  <c r="AF114" i="34"/>
  <c r="AF39" i="34"/>
  <c r="AF73" i="34"/>
  <c r="AF26" i="34"/>
  <c r="AF101" i="34"/>
  <c r="AF127" i="34"/>
  <c r="AF88" i="34"/>
  <c r="H67" i="34"/>
  <c r="H49" i="34"/>
  <c r="H68" i="34"/>
  <c r="H70" i="34"/>
  <c r="I68" i="34"/>
  <c r="I67" i="34"/>
  <c r="I49" i="34"/>
  <c r="I69" i="34"/>
  <c r="I70" i="34"/>
  <c r="H47" i="34"/>
  <c r="H46" i="34"/>
  <c r="J69" i="34"/>
  <c r="J68" i="34"/>
  <c r="J70" i="34"/>
  <c r="J67" i="34"/>
  <c r="K68" i="34"/>
  <c r="K67" i="34"/>
  <c r="K70" i="34"/>
  <c r="J49" i="34"/>
  <c r="K69" i="34"/>
  <c r="L70" i="34"/>
  <c r="L69" i="34"/>
  <c r="L67" i="34"/>
  <c r="L47" i="34"/>
  <c r="L68" i="34"/>
  <c r="K46" i="34"/>
  <c r="K49" i="34"/>
  <c r="L48" i="34"/>
  <c r="M67" i="34"/>
  <c r="M47" i="34"/>
  <c r="M69" i="34"/>
  <c r="M68" i="34"/>
  <c r="M70" i="34"/>
  <c r="N69" i="34"/>
  <c r="N67" i="34"/>
  <c r="N49" i="34"/>
  <c r="N68" i="34"/>
  <c r="M49" i="34"/>
  <c r="M46" i="34"/>
  <c r="N70" i="34"/>
  <c r="O69" i="34"/>
  <c r="O67" i="34"/>
  <c r="O46" i="34"/>
  <c r="N48" i="34"/>
  <c r="O68" i="34"/>
  <c r="O70" i="34"/>
  <c r="P69" i="34"/>
  <c r="P67" i="34"/>
  <c r="P48" i="34"/>
  <c r="P70" i="34"/>
  <c r="O47" i="34"/>
  <c r="P68" i="34"/>
  <c r="Q68" i="34"/>
  <c r="Q70" i="34"/>
  <c r="Q67" i="34"/>
  <c r="Q48" i="34"/>
  <c r="Q69" i="34"/>
  <c r="P49" i="34"/>
  <c r="R68" i="34"/>
  <c r="R69" i="34"/>
  <c r="R67" i="34"/>
  <c r="R46" i="34"/>
  <c r="R70" i="34"/>
  <c r="R47" i="34"/>
  <c r="R49" i="34"/>
  <c r="S68" i="34"/>
  <c r="S67" i="34"/>
  <c r="S47" i="34"/>
  <c r="S70" i="34"/>
  <c r="S69" i="34"/>
  <c r="T67" i="34"/>
  <c r="T49" i="34"/>
  <c r="T68" i="34"/>
  <c r="T70" i="34"/>
  <c r="T69" i="34"/>
  <c r="H13" i="6"/>
  <c r="H12" i="6"/>
  <c r="U68" i="34"/>
  <c r="U67" i="34"/>
  <c r="U48" i="34"/>
  <c r="U70" i="34"/>
  <c r="U69" i="34"/>
  <c r="V67" i="34"/>
  <c r="V46" i="34"/>
  <c r="V69" i="34"/>
  <c r="V70" i="34"/>
  <c r="V68" i="34"/>
  <c r="W68" i="34"/>
  <c r="W69" i="34"/>
  <c r="W67" i="34"/>
  <c r="W48" i="34"/>
  <c r="W70" i="34"/>
  <c r="X68" i="34"/>
  <c r="X69" i="34"/>
  <c r="W49" i="34"/>
  <c r="W46" i="34"/>
  <c r="X67" i="34"/>
  <c r="X49" i="34"/>
  <c r="X70" i="34"/>
  <c r="X46" i="34"/>
  <c r="Y70" i="34"/>
  <c r="Y68" i="34"/>
  <c r="Y67" i="34"/>
  <c r="Y46" i="34"/>
  <c r="Y69" i="34"/>
  <c r="U18" i="6"/>
  <c r="L18" i="6"/>
  <c r="C18" i="6"/>
  <c r="K10" i="6"/>
  <c r="J10" i="6"/>
  <c r="I10" i="6"/>
  <c r="Z70" i="34"/>
  <c r="Z69" i="34"/>
  <c r="Y48" i="34"/>
  <c r="Y49" i="34"/>
  <c r="Y47" i="34"/>
  <c r="Z68" i="34"/>
  <c r="Z67" i="34"/>
  <c r="Z46" i="34"/>
  <c r="B18" i="6"/>
  <c r="AA70" i="34"/>
  <c r="Z47" i="34"/>
  <c r="AA68" i="34"/>
  <c r="AA67" i="34"/>
  <c r="AA47" i="34"/>
  <c r="AA69" i="34"/>
  <c r="K18" i="6"/>
  <c r="AB67" i="34"/>
  <c r="AB48" i="34"/>
  <c r="AB70" i="34"/>
  <c r="AB69" i="34"/>
  <c r="AB68" i="34"/>
  <c r="AC68" i="34"/>
  <c r="AC69" i="34"/>
  <c r="AB47" i="34"/>
  <c r="AB49" i="34"/>
  <c r="AC67" i="34"/>
  <c r="AC46" i="34"/>
  <c r="AC70" i="34"/>
  <c r="AD69" i="34"/>
  <c r="AC47" i="34"/>
  <c r="AD70" i="34"/>
  <c r="AD68" i="34"/>
  <c r="AD67" i="34"/>
  <c r="AD47" i="34"/>
  <c r="AE68" i="34"/>
  <c r="AE69" i="34"/>
  <c r="AE70" i="34"/>
  <c r="AD49" i="34"/>
  <c r="AE67" i="34"/>
  <c r="AE46" i="34"/>
  <c r="AF69" i="34"/>
  <c r="AF70" i="34"/>
  <c r="AF68" i="34"/>
  <c r="AE49" i="34"/>
  <c r="AF67" i="34"/>
  <c r="AF48" i="34"/>
  <c r="F70" i="34"/>
  <c r="F67" i="34"/>
  <c r="AF23" i="34"/>
  <c r="AF22" i="34"/>
  <c r="AF20" i="34"/>
  <c r="AF21" i="34"/>
  <c r="F69" i="34"/>
  <c r="F68" i="34"/>
  <c r="T18" i="6"/>
  <c r="B20" i="6"/>
  <c r="K7" i="6"/>
  <c r="O81" i="34"/>
  <c r="U82" i="34"/>
  <c r="AB83" i="34"/>
  <c r="AF80" i="34"/>
  <c r="K80" i="34"/>
  <c r="R83" i="34"/>
  <c r="Q80" i="34"/>
  <c r="H82" i="34"/>
  <c r="X80" i="34"/>
  <c r="G81" i="34"/>
  <c r="AC82" i="34"/>
  <c r="P83" i="34"/>
  <c r="W81" i="34"/>
  <c r="N81" i="34"/>
  <c r="AE83" i="34"/>
  <c r="U83" i="34"/>
  <c r="V83" i="34"/>
  <c r="V81" i="34"/>
  <c r="Y80" i="34"/>
  <c r="AB80" i="34"/>
  <c r="AF83" i="34"/>
  <c r="S80" i="34"/>
  <c r="Z83" i="34"/>
  <c r="T82" i="34"/>
  <c r="AA83" i="34"/>
  <c r="AA81" i="34"/>
  <c r="K82" i="34"/>
  <c r="R81" i="34"/>
  <c r="Q81" i="34"/>
  <c r="Q83" i="34"/>
  <c r="H81" i="34"/>
  <c r="X83" i="34"/>
  <c r="G82" i="34"/>
  <c r="I80" i="34"/>
  <c r="I82" i="34"/>
  <c r="I83" i="34"/>
  <c r="AC83" i="34"/>
  <c r="J83" i="34"/>
  <c r="J81" i="34"/>
  <c r="N82" i="34"/>
  <c r="AE80" i="34"/>
  <c r="O83" i="34"/>
  <c r="O82" i="34"/>
  <c r="L80" i="34"/>
  <c r="AB81" i="34"/>
  <c r="AD80" i="34"/>
  <c r="AD82" i="34"/>
  <c r="AF82" i="34"/>
  <c r="S82" i="34"/>
  <c r="T80" i="34"/>
  <c r="AA80" i="34"/>
  <c r="K83" i="34"/>
  <c r="M81" i="34"/>
  <c r="R82" i="34"/>
  <c r="X81" i="34"/>
  <c r="G80" i="34"/>
  <c r="AC80" i="34"/>
  <c r="J80" i="34"/>
  <c r="W80" i="34"/>
  <c r="AE82" i="34"/>
  <c r="U80" i="34"/>
  <c r="V80" i="34"/>
  <c r="V82" i="34"/>
  <c r="Y81" i="34"/>
  <c r="Y82" i="34"/>
  <c r="L82" i="34"/>
  <c r="S81" i="34"/>
  <c r="Z81" i="34"/>
  <c r="Z80" i="34"/>
  <c r="AA82" i="34"/>
  <c r="K81" i="34"/>
  <c r="M82" i="34"/>
  <c r="Q82" i="34"/>
  <c r="H83" i="34"/>
  <c r="J82" i="34"/>
  <c r="P82" i="34"/>
  <c r="W83" i="34"/>
  <c r="N83" i="34"/>
  <c r="AE81" i="34"/>
  <c r="O80" i="34"/>
  <c r="U81" i="34"/>
  <c r="Y83" i="34"/>
  <c r="L81" i="34"/>
  <c r="L83" i="34"/>
  <c r="AB82" i="34"/>
  <c r="AD83" i="34"/>
  <c r="AD81" i="34"/>
  <c r="AF81" i="34"/>
  <c r="S83" i="34"/>
  <c r="Z82" i="34"/>
  <c r="T81" i="34"/>
  <c r="T83" i="34"/>
  <c r="M80" i="34"/>
  <c r="M83" i="34"/>
  <c r="R80" i="34"/>
  <c r="H80" i="34"/>
  <c r="X82" i="34"/>
  <c r="G83" i="34"/>
  <c r="I81" i="34"/>
  <c r="AC81" i="34"/>
  <c r="P81" i="34"/>
  <c r="P80" i="34"/>
  <c r="W82" i="34"/>
  <c r="N80" i="34"/>
  <c r="F80" i="34"/>
  <c r="F83" i="34"/>
  <c r="F82" i="34"/>
  <c r="F81" i="34"/>
  <c r="I7" i="6"/>
  <c r="J7" i="6"/>
  <c r="B1" i="11"/>
  <c r="F14" i="11"/>
  <c r="V108" i="34"/>
  <c r="Y108" i="34"/>
  <c r="W108" i="34"/>
  <c r="AC108" i="34"/>
  <c r="AA108" i="34"/>
  <c r="I103" i="34"/>
  <c r="T105" i="34"/>
  <c r="P105" i="34"/>
  <c r="O102" i="34"/>
  <c r="L102" i="34"/>
  <c r="M104" i="34"/>
  <c r="T104" i="34"/>
  <c r="O108" i="34"/>
  <c r="Q104" i="34"/>
  <c r="W105" i="34"/>
  <c r="P102" i="34"/>
  <c r="M102" i="34"/>
  <c r="AE105" i="34"/>
  <c r="J105" i="34"/>
  <c r="X103" i="34"/>
  <c r="U103" i="34"/>
  <c r="L103" i="34"/>
  <c r="Q108" i="34"/>
  <c r="N108" i="34"/>
  <c r="H111" i="34"/>
  <c r="X111" i="34"/>
  <c r="T108" i="34"/>
  <c r="N104" i="34"/>
  <c r="M103" i="34"/>
  <c r="AC104" i="34"/>
  <c r="P104" i="34"/>
  <c r="AC102" i="34"/>
  <c r="AE102" i="34"/>
  <c r="AB105" i="34"/>
  <c r="AB103" i="34"/>
  <c r="U111" i="34"/>
  <c r="T111" i="34"/>
  <c r="N105" i="34"/>
  <c r="O103" i="34"/>
  <c r="AA103" i="34"/>
  <c r="G108" i="34"/>
  <c r="I108" i="34"/>
  <c r="AD108" i="34"/>
  <c r="H108" i="34"/>
  <c r="H33" i="34"/>
  <c r="P108" i="34"/>
  <c r="AC111" i="34"/>
  <c r="AC33" i="34"/>
  <c r="AE111" i="34"/>
  <c r="G111" i="34"/>
  <c r="AA111" i="34"/>
  <c r="AA33" i="34"/>
  <c r="U104" i="34"/>
  <c r="R102" i="34"/>
  <c r="N102" i="34"/>
  <c r="S103" i="34"/>
  <c r="K111" i="34"/>
  <c r="H104" i="34"/>
  <c r="L104" i="34"/>
  <c r="AD102" i="34"/>
  <c r="AB111" i="34"/>
  <c r="L111" i="34"/>
  <c r="Y111" i="34"/>
  <c r="V104" i="34"/>
  <c r="G128" i="34"/>
  <c r="S105" i="34"/>
  <c r="I104" i="34"/>
  <c r="AA104" i="34"/>
  <c r="I102" i="34"/>
  <c r="X102" i="34"/>
  <c r="H102" i="34"/>
  <c r="U102" i="34"/>
  <c r="W102" i="34"/>
  <c r="Q102" i="34"/>
  <c r="J102" i="34"/>
  <c r="G115" i="34"/>
  <c r="R105" i="34"/>
  <c r="AD105" i="34"/>
  <c r="AD30" i="34"/>
  <c r="AA105" i="34"/>
  <c r="O105" i="34"/>
  <c r="Y103" i="34"/>
  <c r="AC103" i="34"/>
  <c r="G103" i="34"/>
  <c r="J108" i="34"/>
  <c r="I111" i="34"/>
  <c r="AD111" i="34"/>
  <c r="P111" i="34"/>
  <c r="Z111" i="34"/>
  <c r="N111" i="34"/>
  <c r="J111" i="34"/>
  <c r="Q111" i="34"/>
  <c r="AE104" i="34"/>
  <c r="AD104" i="34"/>
  <c r="AB104" i="34"/>
  <c r="G104" i="34"/>
  <c r="J104" i="34"/>
  <c r="AA102" i="34"/>
  <c r="S102" i="34"/>
  <c r="Y102" i="34"/>
  <c r="V102" i="34"/>
  <c r="G141" i="34"/>
  <c r="H105" i="34"/>
  <c r="G105" i="34"/>
  <c r="V105" i="34"/>
  <c r="K108" i="34"/>
  <c r="AE108" i="34"/>
  <c r="Z108" i="34"/>
  <c r="AB108" i="34"/>
  <c r="U108" i="34"/>
  <c r="X108" i="34"/>
  <c r="R111" i="34"/>
  <c r="S111" i="34"/>
  <c r="W111" i="34"/>
  <c r="W34" i="34"/>
  <c r="V111" i="34"/>
  <c r="V34" i="34"/>
  <c r="M111" i="34"/>
  <c r="Y104" i="34"/>
  <c r="G102" i="34"/>
  <c r="X105" i="34"/>
  <c r="L108" i="34"/>
  <c r="S108" i="34"/>
  <c r="R108" i="34"/>
  <c r="M108" i="34"/>
  <c r="O111" i="34"/>
  <c r="AA36" i="34"/>
  <c r="Y21" i="34"/>
  <c r="AC34" i="34"/>
  <c r="F111" i="34"/>
  <c r="T33" i="34"/>
  <c r="Y20" i="34"/>
  <c r="Y34" i="34"/>
  <c r="Y36" i="34"/>
  <c r="H36" i="34"/>
  <c r="AC36" i="34"/>
  <c r="AA34" i="34"/>
  <c r="F108" i="34"/>
  <c r="F21" i="34"/>
  <c r="AC35" i="34"/>
  <c r="N36" i="34"/>
  <c r="AA35" i="34"/>
  <c r="T22" i="34"/>
  <c r="AD36" i="34"/>
  <c r="AD34" i="34"/>
  <c r="AD35" i="34"/>
  <c r="AD33" i="34"/>
  <c r="H20" i="34"/>
  <c r="H22" i="34"/>
  <c r="H34" i="34"/>
  <c r="H23" i="34"/>
  <c r="H35" i="34"/>
  <c r="H21" i="34"/>
  <c r="G20" i="34"/>
  <c r="G35" i="34"/>
  <c r="P34" i="34"/>
  <c r="N33" i="34"/>
  <c r="N23" i="34"/>
  <c r="N34" i="34"/>
  <c r="N35" i="34"/>
  <c r="N20" i="34"/>
  <c r="R34" i="34"/>
  <c r="R21" i="34"/>
  <c r="AB33" i="34"/>
  <c r="AB22" i="34"/>
  <c r="V35" i="34"/>
  <c r="O22" i="34"/>
  <c r="O35" i="34"/>
  <c r="P23" i="34"/>
  <c r="P36" i="34"/>
  <c r="S35" i="34"/>
  <c r="S36" i="34"/>
  <c r="S34" i="34"/>
  <c r="S33" i="34"/>
  <c r="S22" i="34"/>
  <c r="Z35" i="34"/>
  <c r="Z36" i="34"/>
  <c r="V36" i="34"/>
  <c r="I22" i="34"/>
  <c r="O33" i="34"/>
  <c r="P22" i="34"/>
  <c r="P33" i="34"/>
  <c r="L35" i="34"/>
  <c r="L23" i="34"/>
  <c r="X35" i="34"/>
  <c r="X33" i="34"/>
  <c r="X34" i="34"/>
  <c r="X36" i="34"/>
  <c r="X23" i="34"/>
  <c r="X22" i="34"/>
  <c r="X21" i="34"/>
  <c r="X20" i="34"/>
  <c r="W23" i="34"/>
  <c r="AE36" i="34"/>
  <c r="AE34" i="34"/>
  <c r="AE23" i="34"/>
  <c r="V33" i="34"/>
  <c r="J33" i="34"/>
  <c r="J35" i="34"/>
  <c r="J23" i="34"/>
  <c r="J20" i="34"/>
  <c r="I20" i="34"/>
  <c r="I33" i="34"/>
  <c r="P21" i="34"/>
  <c r="P35" i="34"/>
  <c r="M33" i="34"/>
  <c r="M34" i="34"/>
  <c r="M35" i="34"/>
  <c r="M36" i="34"/>
  <c r="M23" i="34"/>
  <c r="M21" i="34"/>
  <c r="M20" i="34"/>
  <c r="M22" i="34"/>
  <c r="U36" i="34"/>
  <c r="U35" i="34"/>
  <c r="U34" i="34"/>
  <c r="U33" i="34"/>
  <c r="U22" i="34"/>
  <c r="K35" i="34"/>
  <c r="K36" i="34"/>
  <c r="K33" i="34"/>
  <c r="K34" i="34"/>
  <c r="K23" i="34"/>
  <c r="K21" i="34"/>
  <c r="K20" i="34"/>
  <c r="K22" i="34"/>
  <c r="I23" i="34"/>
  <c r="P20" i="34"/>
  <c r="F49" i="34"/>
  <c r="F48" i="34"/>
  <c r="F36" i="34"/>
  <c r="F35" i="34"/>
  <c r="F20" i="34"/>
  <c r="F23" i="34"/>
  <c r="F34" i="34"/>
  <c r="F33" i="34"/>
  <c r="F46" i="34"/>
  <c r="F47" i="34"/>
  <c r="F22" i="34"/>
  <c r="G12" i="6"/>
  <c r="G13" i="6"/>
  <c r="B1" i="6"/>
  <c r="B13" i="6"/>
  <c r="B12" i="6"/>
  <c r="C5" i="33" a="1"/>
  <c r="D5" i="33" a="1"/>
  <c r="D5" i="33"/>
  <c r="C6" i="33"/>
  <c r="C5" i="33"/>
  <c r="C13" i="33"/>
  <c r="C20" i="33"/>
  <c r="C12" i="33"/>
  <c r="C16" i="33"/>
  <c r="C11" i="33"/>
  <c r="C10" i="33"/>
  <c r="C19" i="33"/>
  <c r="C17" i="33"/>
  <c r="C14" i="33"/>
  <c r="C21" i="33"/>
  <c r="C8" i="33"/>
  <c r="C7" i="33"/>
  <c r="C9" i="33"/>
  <c r="C18" i="33"/>
  <c r="C15" i="33"/>
  <c r="D12" i="33"/>
  <c r="D18" i="33"/>
  <c r="D11" i="33"/>
  <c r="D6" i="33"/>
  <c r="D17" i="33"/>
  <c r="D20" i="33"/>
  <c r="D14" i="33"/>
  <c r="D8" i="33"/>
  <c r="D16" i="33"/>
  <c r="D19" i="33"/>
  <c r="D15" i="33"/>
  <c r="D7" i="33"/>
  <c r="D13" i="33"/>
  <c r="D21" i="33"/>
  <c r="D10" i="33"/>
  <c r="D9" i="33"/>
  <c r="E5" i="33" a="1"/>
  <c r="E8" i="33"/>
  <c r="E7" i="33"/>
  <c r="E6" i="33"/>
  <c r="E9" i="33"/>
  <c r="E12" i="33"/>
  <c r="E15" i="33"/>
  <c r="E17" i="33"/>
  <c r="E11" i="33"/>
  <c r="E13" i="33"/>
  <c r="E19" i="33"/>
  <c r="E18" i="33"/>
  <c r="E21" i="33"/>
  <c r="E5" i="33"/>
  <c r="E14" i="33"/>
  <c r="E20" i="33"/>
  <c r="E10" i="33"/>
  <c r="E16" i="33"/>
  <c r="L331" i="35"/>
  <c r="L332" i="35"/>
  <c r="L39" i="35"/>
  <c r="L330" i="35"/>
  <c r="L256" i="35"/>
  <c r="L183" i="35"/>
  <c r="Z103" i="34"/>
  <c r="AD129" i="34"/>
  <c r="K115" i="34"/>
  <c r="M91" i="34"/>
  <c r="T103" i="34"/>
  <c r="Y116" i="34"/>
  <c r="AE131" i="34"/>
  <c r="AE141" i="34"/>
  <c r="AC119" i="34"/>
  <c r="M119" i="34"/>
  <c r="S128" i="34"/>
  <c r="K129" i="34"/>
  <c r="V143" i="34"/>
  <c r="T93" i="34"/>
  <c r="I93" i="34"/>
  <c r="AA93" i="34"/>
  <c r="X89" i="34"/>
  <c r="K104" i="34"/>
  <c r="AB129" i="34"/>
  <c r="P145" i="34"/>
  <c r="X132" i="34"/>
  <c r="AF103" i="34"/>
  <c r="N89" i="34"/>
  <c r="N27" i="34"/>
  <c r="AE92" i="34"/>
  <c r="S75" i="34"/>
  <c r="H75" i="34"/>
  <c r="P75" i="34"/>
  <c r="AB75" i="34"/>
  <c r="AF77" i="34"/>
  <c r="R77" i="34"/>
  <c r="U79" i="34"/>
  <c r="AF74" i="34"/>
  <c r="T75" i="34"/>
  <c r="W77" i="34"/>
  <c r="W76" i="34"/>
  <c r="AE76" i="34"/>
  <c r="AA75" i="34"/>
  <c r="K75" i="34"/>
  <c r="V77" i="34"/>
  <c r="G76" i="34"/>
  <c r="AE79" i="34"/>
  <c r="G77" i="34"/>
  <c r="AF76" i="34"/>
  <c r="J103" i="34"/>
  <c r="P103" i="34"/>
  <c r="M116" i="34"/>
  <c r="V103" i="34"/>
  <c r="R103" i="34"/>
  <c r="U115" i="34"/>
  <c r="W89" i="34"/>
  <c r="O129" i="34"/>
  <c r="U92" i="34"/>
  <c r="X94" i="34"/>
  <c r="W91" i="34"/>
  <c r="U131" i="34"/>
  <c r="Q141" i="34"/>
  <c r="P130" i="34"/>
  <c r="M141" i="34"/>
  <c r="M132" i="34"/>
  <c r="M118" i="34"/>
  <c r="M115" i="34"/>
  <c r="K130" i="34"/>
  <c r="AC120" i="34"/>
  <c r="M142" i="34"/>
  <c r="Z104" i="34"/>
  <c r="R89" i="34"/>
  <c r="AC128" i="34"/>
  <c r="AE129" i="34"/>
  <c r="AF131" i="34"/>
  <c r="AE103" i="34"/>
  <c r="AE93" i="34"/>
  <c r="Y117" i="34"/>
  <c r="R107" i="34"/>
  <c r="AA120" i="34"/>
  <c r="W103" i="34"/>
  <c r="Z142" i="34"/>
  <c r="Q105" i="34"/>
  <c r="AC105" i="34"/>
  <c r="AC30" i="34"/>
  <c r="W104" i="34"/>
  <c r="W29" i="34"/>
  <c r="K103" i="34"/>
  <c r="O104" i="34"/>
  <c r="N103" i="34"/>
  <c r="G120" i="34"/>
  <c r="O106" i="34"/>
  <c r="Q128" i="34"/>
  <c r="R132" i="34"/>
  <c r="X131" i="34"/>
  <c r="L107" i="34"/>
  <c r="P142" i="34"/>
  <c r="R104" i="34"/>
  <c r="AE106" i="34"/>
  <c r="AA106" i="34"/>
  <c r="I128" i="34"/>
  <c r="V130" i="34"/>
  <c r="N130" i="34"/>
  <c r="P131" i="34"/>
  <c r="L131" i="34"/>
  <c r="AD132" i="34"/>
  <c r="Z132" i="34"/>
  <c r="J132" i="34"/>
  <c r="AB141" i="34"/>
  <c r="T141" i="34"/>
  <c r="P141" i="34"/>
  <c r="L141" i="34"/>
  <c r="H141" i="34"/>
  <c r="AD142" i="34"/>
  <c r="Q103" i="34"/>
  <c r="S104" i="34"/>
  <c r="AD103" i="34"/>
  <c r="H103" i="34"/>
  <c r="I105" i="34"/>
  <c r="O27" i="34"/>
  <c r="Y128" i="34"/>
  <c r="H131" i="34"/>
  <c r="U128" i="34"/>
  <c r="P116" i="34"/>
  <c r="U116" i="34"/>
  <c r="K116" i="34"/>
  <c r="T129" i="34"/>
  <c r="S142" i="34"/>
  <c r="X146" i="34"/>
  <c r="X142" i="34"/>
  <c r="X128" i="34"/>
  <c r="V145" i="34"/>
  <c r="V119" i="34"/>
  <c r="V115" i="34"/>
  <c r="V89" i="34"/>
  <c r="U118" i="34"/>
  <c r="U106" i="34"/>
  <c r="H144" i="34"/>
  <c r="H119" i="34"/>
  <c r="H31" i="34"/>
  <c r="G144" i="34"/>
  <c r="K106" i="34"/>
  <c r="G106" i="34"/>
  <c r="G31" i="34"/>
  <c r="R129" i="34"/>
  <c r="U105" i="34"/>
  <c r="Y105" i="34"/>
  <c r="M144" i="34"/>
  <c r="H129" i="34"/>
  <c r="AF141" i="34"/>
  <c r="W106" i="34"/>
  <c r="R91" i="34"/>
  <c r="N91" i="34"/>
  <c r="P92" i="34"/>
  <c r="L92" i="34"/>
  <c r="H92" i="34"/>
  <c r="AD93" i="34"/>
  <c r="J93" i="34"/>
  <c r="O94" i="34"/>
  <c r="T115" i="34"/>
  <c r="AA116" i="34"/>
  <c r="Q116" i="34"/>
  <c r="Z129" i="34"/>
  <c r="L129" i="34"/>
  <c r="T133" i="34"/>
  <c r="Y142" i="34"/>
  <c r="U142" i="34"/>
  <c r="Y129" i="34"/>
  <c r="K93" i="34"/>
  <c r="S90" i="34"/>
  <c r="M90" i="34"/>
  <c r="I29" i="34"/>
  <c r="W92" i="34"/>
  <c r="S92" i="34"/>
  <c r="G92" i="34"/>
  <c r="Y93" i="34"/>
  <c r="Y94" i="34"/>
  <c r="N94" i="34"/>
  <c r="T119" i="34"/>
  <c r="L119" i="34"/>
  <c r="L31" i="34"/>
  <c r="AD120" i="34"/>
  <c r="Q120" i="34"/>
  <c r="P129" i="34"/>
  <c r="Y132" i="34"/>
  <c r="L142" i="34"/>
  <c r="I142" i="34"/>
  <c r="P146" i="34"/>
  <c r="K102" i="34"/>
  <c r="P94" i="34"/>
  <c r="O90" i="34"/>
  <c r="W116" i="34"/>
  <c r="O117" i="34"/>
  <c r="H120" i="34"/>
  <c r="Z131" i="34"/>
  <c r="P132" i="34"/>
  <c r="P133" i="34"/>
  <c r="V141" i="34"/>
  <c r="AF130" i="34"/>
  <c r="AF118" i="34"/>
  <c r="AE120" i="34"/>
  <c r="N120" i="34"/>
  <c r="Y91" i="34"/>
  <c r="Y29" i="34"/>
  <c r="V120" i="34"/>
  <c r="U93" i="34"/>
  <c r="H89" i="34"/>
  <c r="Z89" i="34"/>
  <c r="AE116" i="34"/>
  <c r="AB116" i="34"/>
  <c r="N117" i="34"/>
  <c r="T118" i="34"/>
  <c r="P118" i="34"/>
  <c r="I120" i="34"/>
  <c r="W129" i="34"/>
  <c r="X144" i="34"/>
  <c r="AC141" i="34"/>
  <c r="AC27" i="34"/>
  <c r="K112" i="35"/>
  <c r="K40" i="35"/>
  <c r="U107" i="34"/>
  <c r="R142" i="34"/>
  <c r="X107" i="34"/>
  <c r="Z116" i="34"/>
  <c r="AC117" i="34"/>
  <c r="S118" i="34"/>
  <c r="Y120" i="34"/>
  <c r="W144" i="34"/>
  <c r="V146" i="34"/>
  <c r="AC129" i="34"/>
  <c r="X141" i="34"/>
  <c r="X27" i="34"/>
  <c r="T91" i="34"/>
  <c r="Q142" i="34"/>
  <c r="M131" i="34"/>
  <c r="M30" i="34"/>
  <c r="K105" i="34"/>
  <c r="J130" i="34"/>
  <c r="Z130" i="34"/>
  <c r="V133" i="34"/>
  <c r="I107" i="34"/>
  <c r="AC107" i="34"/>
  <c r="AA89" i="34"/>
  <c r="W133" i="34"/>
  <c r="Q92" i="34"/>
  <c r="P115" i="34"/>
  <c r="Z94" i="34"/>
  <c r="AD107" i="34"/>
  <c r="S107" i="34"/>
  <c r="V107" i="34"/>
  <c r="L94" i="34"/>
  <c r="J94" i="34"/>
  <c r="AC94" i="34"/>
  <c r="R120" i="34"/>
  <c r="AA107" i="34"/>
  <c r="AB120" i="34"/>
  <c r="T120" i="34"/>
  <c r="U133" i="34"/>
  <c r="M133" i="34"/>
  <c r="Q27" i="34"/>
  <c r="E7" i="35"/>
  <c r="T7" i="35"/>
  <c r="H7" i="35"/>
  <c r="X7" i="35"/>
  <c r="L7" i="35"/>
  <c r="AF89" i="34"/>
  <c r="L89" i="34"/>
  <c r="L27" i="34"/>
  <c r="I90" i="34"/>
  <c r="AE146" i="34"/>
  <c r="N30" i="34"/>
  <c r="AB106" i="34"/>
  <c r="AB31" i="34"/>
  <c r="K142" i="34"/>
  <c r="AB117" i="34"/>
  <c r="AB29" i="34"/>
  <c r="X104" i="34"/>
  <c r="G29" i="34"/>
  <c r="W31" i="34"/>
  <c r="AF27" i="34"/>
  <c r="X145" i="34"/>
  <c r="X31" i="34"/>
  <c r="V142" i="34"/>
  <c r="K27" i="34"/>
  <c r="AC29" i="34"/>
  <c r="P7" i="35"/>
  <c r="V129" i="34"/>
  <c r="T132" i="34"/>
  <c r="P89" i="34"/>
  <c r="V94" i="34"/>
  <c r="AE91" i="34"/>
  <c r="P29" i="34"/>
  <c r="AF31" i="34"/>
  <c r="L133" i="34"/>
  <c r="Y90" i="34"/>
  <c r="Y28" i="34"/>
  <c r="AB7" i="35"/>
  <c r="AE94" i="34"/>
  <c r="T102" i="34"/>
  <c r="V30" i="34"/>
  <c r="J30" i="34"/>
  <c r="AB102" i="34"/>
  <c r="K29" i="34"/>
  <c r="X29" i="34"/>
  <c r="K31" i="34"/>
  <c r="J31" i="34"/>
  <c r="J146" i="34"/>
  <c r="AF107" i="34"/>
  <c r="S117" i="34"/>
  <c r="S29" i="34"/>
  <c r="AD94" i="34"/>
  <c r="AB89" i="34"/>
  <c r="T89" i="34"/>
  <c r="Q94" i="34"/>
  <c r="AB107" i="34"/>
  <c r="Z107" i="34"/>
  <c r="G107" i="34"/>
  <c r="O116" i="34"/>
  <c r="U117" i="34"/>
  <c r="O118" i="34"/>
  <c r="O30" i="34"/>
  <c r="N133" i="34"/>
  <c r="AF90" i="34"/>
  <c r="H90" i="34"/>
  <c r="AD91" i="34"/>
  <c r="AD29" i="34"/>
  <c r="Z91" i="34"/>
  <c r="V91" i="34"/>
  <c r="X92" i="34"/>
  <c r="X30" i="34"/>
  <c r="T92" i="34"/>
  <c r="R93" i="34"/>
  <c r="N93" i="34"/>
  <c r="Y89" i="34"/>
  <c r="Y27" i="34"/>
  <c r="M89" i="34"/>
  <c r="AE90" i="34"/>
  <c r="AE28" i="34"/>
  <c r="G90" i="34"/>
  <c r="U91" i="34"/>
  <c r="U29" i="34"/>
  <c r="Q91" i="34"/>
  <c r="Q29" i="34"/>
  <c r="AA92" i="34"/>
  <c r="K92" i="34"/>
  <c r="K30" i="34"/>
  <c r="Q93" i="34"/>
  <c r="S116" i="34"/>
  <c r="S28" i="34"/>
  <c r="Y92" i="34"/>
  <c r="Y30" i="34"/>
  <c r="O91" i="34"/>
  <c r="O29" i="34"/>
  <c r="AF146" i="34"/>
  <c r="AF91" i="34"/>
  <c r="AF29" i="34"/>
  <c r="K133" i="34"/>
  <c r="S133" i="34"/>
  <c r="P93" i="34"/>
  <c r="AA146" i="34"/>
  <c r="K94" i="34"/>
  <c r="U21" i="34"/>
  <c r="V23" i="34"/>
  <c r="L20" i="34"/>
  <c r="L34" i="34"/>
  <c r="Q35" i="34"/>
  <c r="Z23" i="34"/>
  <c r="W35" i="34"/>
  <c r="Q36" i="34"/>
  <c r="W36" i="34"/>
  <c r="AB23" i="34"/>
  <c r="AB35" i="34"/>
  <c r="R20" i="34"/>
  <c r="R33" i="34"/>
  <c r="G22" i="34"/>
  <c r="G23" i="34"/>
  <c r="G34" i="34"/>
  <c r="G36" i="34"/>
  <c r="G21" i="34"/>
  <c r="G27" i="34"/>
  <c r="S27" i="34"/>
  <c r="P30" i="34"/>
  <c r="AA48" i="34"/>
  <c r="Z48" i="34"/>
  <c r="X47" i="34"/>
  <c r="U46" i="34"/>
  <c r="T46" i="34"/>
  <c r="S49" i="34"/>
  <c r="P47" i="34"/>
  <c r="H48" i="34"/>
  <c r="Q23" i="34"/>
  <c r="L21" i="34"/>
  <c r="L33" i="34"/>
  <c r="Z20" i="34"/>
  <c r="W20" i="34"/>
  <c r="Q22" i="34"/>
  <c r="W21" i="34"/>
  <c r="AB20" i="34"/>
  <c r="AB36" i="34"/>
  <c r="R22" i="34"/>
  <c r="R36" i="34"/>
  <c r="N22" i="34"/>
  <c r="N21" i="34"/>
  <c r="Q34" i="34"/>
  <c r="AE27" i="34"/>
  <c r="I30" i="34"/>
  <c r="AB46" i="34"/>
  <c r="X48" i="34"/>
  <c r="N46" i="34"/>
  <c r="L49" i="34"/>
  <c r="W27" i="34"/>
  <c r="AD31" i="34"/>
  <c r="M31" i="34"/>
  <c r="AE31" i="34"/>
  <c r="AA31" i="34"/>
  <c r="W22" i="34"/>
  <c r="L22" i="34"/>
  <c r="S21" i="34"/>
  <c r="AB21" i="34"/>
  <c r="R23" i="34"/>
  <c r="AD27" i="34"/>
  <c r="W30" i="34"/>
  <c r="Q28" i="34"/>
  <c r="V48" i="34"/>
  <c r="Q47" i="34"/>
  <c r="N47" i="34"/>
  <c r="L46" i="34"/>
  <c r="AC31" i="34"/>
  <c r="E60" i="35"/>
  <c r="N31" i="34"/>
  <c r="V93" i="34"/>
  <c r="V31" i="34"/>
  <c r="AF92" i="34"/>
  <c r="AF30" i="34"/>
  <c r="J91" i="34"/>
  <c r="I89" i="34"/>
  <c r="I27" i="34"/>
  <c r="H94" i="34"/>
  <c r="AB30" i="34"/>
  <c r="V29" i="34"/>
  <c r="AF28" i="34"/>
  <c r="J27" i="34"/>
  <c r="T29" i="34"/>
  <c r="P27" i="34"/>
  <c r="M28" i="34"/>
  <c r="U89" i="34"/>
  <c r="U27" i="34"/>
  <c r="I21" i="34"/>
  <c r="R115" i="34"/>
  <c r="R27" i="34"/>
  <c r="AE130" i="34"/>
  <c r="AA133" i="34"/>
  <c r="Y119" i="34"/>
  <c r="AE20" i="34"/>
  <c r="AD46" i="34"/>
  <c r="AC48" i="34"/>
  <c r="AA46" i="34"/>
  <c r="J48" i="34"/>
  <c r="J47" i="34"/>
  <c r="AA115" i="34"/>
  <c r="AA27" i="34"/>
  <c r="Z120" i="34"/>
  <c r="Z117" i="34"/>
  <c r="Z29" i="34"/>
  <c r="R130" i="34"/>
  <c r="R29" i="34"/>
  <c r="M146" i="34"/>
  <c r="U23" i="34"/>
  <c r="O36" i="34"/>
  <c r="J22" i="34"/>
  <c r="AE35" i="34"/>
  <c r="Q20" i="34"/>
  <c r="V20" i="34"/>
  <c r="Z22" i="34"/>
  <c r="S23" i="34"/>
  <c r="I35" i="34"/>
  <c r="T34" i="34"/>
  <c r="T35" i="34"/>
  <c r="L105" i="34"/>
  <c r="AF47" i="34"/>
  <c r="AE48" i="34"/>
  <c r="AD48" i="34"/>
  <c r="AC49" i="34"/>
  <c r="AA49" i="34"/>
  <c r="Z49" i="34"/>
  <c r="W47" i="34"/>
  <c r="V49" i="34"/>
  <c r="U47" i="34"/>
  <c r="T47" i="34"/>
  <c r="S48" i="34"/>
  <c r="R48" i="34"/>
  <c r="Q46" i="34"/>
  <c r="P46" i="34"/>
  <c r="O49" i="34"/>
  <c r="J46" i="34"/>
  <c r="L117" i="34"/>
  <c r="L29" i="34"/>
  <c r="AA130" i="34"/>
  <c r="AA29" i="34"/>
  <c r="AA142" i="34"/>
  <c r="AD22" i="34"/>
  <c r="AD23" i="34"/>
  <c r="AA20" i="34"/>
  <c r="AC21" i="34"/>
  <c r="AA22" i="34"/>
  <c r="AD21" i="34"/>
  <c r="AE47" i="34"/>
  <c r="AA118" i="34"/>
  <c r="R133" i="34"/>
  <c r="R118" i="34"/>
  <c r="R30" i="34"/>
  <c r="M143" i="34"/>
  <c r="M29" i="34"/>
  <c r="V21" i="34"/>
  <c r="J34" i="34"/>
  <c r="AE21" i="34"/>
  <c r="O21" i="34"/>
  <c r="Z33" i="34"/>
  <c r="AA21" i="34"/>
  <c r="I36" i="34"/>
  <c r="Y33" i="34"/>
  <c r="AA23" i="34"/>
  <c r="AF46" i="34"/>
  <c r="O23" i="34"/>
  <c r="U20" i="34"/>
  <c r="O20" i="34"/>
  <c r="Q21" i="34"/>
  <c r="J21" i="34"/>
  <c r="AE22" i="34"/>
  <c r="I34" i="34"/>
  <c r="Z21" i="34"/>
  <c r="S20" i="34"/>
  <c r="V22" i="34"/>
  <c r="T20" i="34"/>
  <c r="T21" i="34"/>
  <c r="T23" i="34"/>
  <c r="AD20" i="34"/>
  <c r="Y23" i="34"/>
  <c r="AC20" i="34"/>
  <c r="AC22" i="34"/>
  <c r="Y22" i="34"/>
  <c r="AC23" i="34"/>
  <c r="Z102" i="34"/>
  <c r="Z27" i="34"/>
  <c r="Z105" i="34"/>
  <c r="Z30" i="34"/>
  <c r="AF49" i="34"/>
  <c r="V47" i="34"/>
  <c r="U49" i="34"/>
  <c r="T48" i="34"/>
  <c r="S46" i="34"/>
  <c r="Q49" i="34"/>
  <c r="O48" i="34"/>
  <c r="I48" i="34"/>
  <c r="I47" i="34"/>
  <c r="I46" i="34"/>
  <c r="Y106" i="34"/>
  <c r="I94" i="34"/>
  <c r="H133" i="34"/>
  <c r="H130" i="34"/>
  <c r="H29" i="34"/>
  <c r="H118" i="34"/>
  <c r="H115" i="34"/>
  <c r="G146" i="34"/>
  <c r="G32" i="34"/>
  <c r="J111" i="35"/>
  <c r="G142" i="34"/>
  <c r="M48" i="34"/>
  <c r="K48" i="34"/>
  <c r="K47" i="34"/>
  <c r="I31" i="34"/>
  <c r="O31" i="34"/>
  <c r="Q31" i="34"/>
  <c r="M128" i="34"/>
  <c r="M27" i="34"/>
  <c r="U31" i="34"/>
  <c r="AE133" i="34"/>
  <c r="AE118" i="34"/>
  <c r="AE30" i="34"/>
  <c r="Z93" i="34"/>
  <c r="Z31" i="34"/>
  <c r="T145" i="34"/>
  <c r="R106" i="34"/>
  <c r="I116" i="34"/>
  <c r="C60" i="35"/>
  <c r="D60" i="35"/>
  <c r="K38" i="35"/>
  <c r="G113" i="35"/>
  <c r="G183" i="35"/>
  <c r="K37" i="35"/>
  <c r="K39" i="35"/>
  <c r="I111" i="35"/>
  <c r="H113" i="35"/>
  <c r="G112" i="35"/>
  <c r="J112" i="35"/>
  <c r="I110" i="35"/>
  <c r="J110" i="35"/>
  <c r="I113" i="35"/>
  <c r="H112" i="35"/>
  <c r="G111" i="35"/>
  <c r="K111" i="35"/>
  <c r="J113" i="35"/>
  <c r="I112" i="35"/>
  <c r="H111" i="35"/>
  <c r="G110" i="35"/>
  <c r="G184" i="35"/>
  <c r="G186" i="35"/>
  <c r="H185" i="35"/>
  <c r="I184" i="35"/>
  <c r="I186" i="35"/>
  <c r="J185" i="35"/>
  <c r="G185" i="35"/>
  <c r="H184" i="35"/>
  <c r="H186" i="35"/>
  <c r="I185" i="35"/>
  <c r="J184" i="35"/>
  <c r="J186" i="35"/>
  <c r="G256" i="35"/>
  <c r="I256" i="35"/>
  <c r="H183" i="35"/>
  <c r="J183" i="35"/>
  <c r="G258" i="35"/>
  <c r="H257" i="35"/>
  <c r="H259" i="35"/>
  <c r="I258" i="35"/>
  <c r="J257" i="35"/>
  <c r="J259" i="35"/>
  <c r="H256" i="35"/>
  <c r="J256" i="35"/>
  <c r="G257" i="35"/>
  <c r="G259" i="35"/>
  <c r="H258" i="35"/>
  <c r="I257" i="35"/>
  <c r="I259" i="35"/>
  <c r="J258" i="35"/>
  <c r="V7" i="35"/>
  <c r="N7" i="35"/>
  <c r="F7" i="35"/>
  <c r="Z7" i="35"/>
  <c r="R7" i="35"/>
  <c r="J7" i="35"/>
  <c r="D7" i="35"/>
  <c r="Y7" i="35"/>
  <c r="U7" i="35"/>
  <c r="Q7" i="35"/>
  <c r="M7" i="35"/>
  <c r="I7" i="35"/>
  <c r="C7" i="35"/>
  <c r="AA7" i="35"/>
  <c r="W7" i="35"/>
  <c r="S7" i="35"/>
  <c r="O7" i="35"/>
  <c r="K7" i="35"/>
  <c r="G7" i="35"/>
  <c r="L37" i="35"/>
  <c r="L329" i="35"/>
  <c r="AF78" i="34"/>
  <c r="S74" i="34"/>
  <c r="R76" i="34"/>
  <c r="M75" i="34"/>
  <c r="Q79" i="34"/>
  <c r="Q76" i="34"/>
  <c r="M79" i="34"/>
  <c r="AB77" i="34"/>
  <c r="L74" i="34"/>
  <c r="T78" i="34"/>
  <c r="O76" i="34"/>
  <c r="G79" i="34"/>
  <c r="K77" i="34"/>
  <c r="S79" i="34"/>
  <c r="AC75" i="34"/>
  <c r="L75" i="34"/>
  <c r="W74" i="34"/>
  <c r="L77" i="34"/>
  <c r="L76" i="34"/>
  <c r="Q74" i="34"/>
  <c r="Q75" i="34"/>
  <c r="Z76" i="34"/>
  <c r="G30" i="34"/>
  <c r="AE77" i="34"/>
  <c r="O75" i="34"/>
  <c r="K79" i="34"/>
  <c r="P74" i="34"/>
  <c r="N78" i="34"/>
  <c r="AD78" i="34"/>
  <c r="AD77" i="34"/>
  <c r="H77" i="34"/>
  <c r="AA74" i="34"/>
  <c r="AA76" i="34"/>
  <c r="T77" i="34"/>
  <c r="I75" i="34"/>
  <c r="Y78" i="34"/>
  <c r="R74" i="34"/>
  <c r="AD146" i="34"/>
  <c r="W75" i="34"/>
  <c r="X78" i="34"/>
  <c r="V78" i="34"/>
  <c r="E110" i="35"/>
  <c r="Z79" i="34"/>
  <c r="P76" i="34"/>
  <c r="AF75" i="34"/>
  <c r="AB79" i="34"/>
  <c r="AE75" i="34"/>
  <c r="S76" i="34"/>
  <c r="O74" i="34"/>
  <c r="X77" i="34"/>
  <c r="AB74" i="34"/>
  <c r="K76" i="34"/>
  <c r="AD79" i="34"/>
  <c r="U76" i="34"/>
  <c r="S77" i="34"/>
  <c r="AE74" i="34"/>
  <c r="G75" i="34"/>
  <c r="AA79" i="34"/>
  <c r="G74" i="34"/>
  <c r="E112" i="35"/>
  <c r="N76" i="34"/>
  <c r="V79" i="34"/>
  <c r="Y76" i="34"/>
  <c r="M76" i="34"/>
  <c r="L79" i="34"/>
  <c r="G78" i="34"/>
  <c r="R78" i="34"/>
  <c r="J78" i="34"/>
  <c r="Z78" i="34"/>
  <c r="AA78" i="34"/>
  <c r="Q78" i="34"/>
  <c r="S78" i="34"/>
  <c r="P79" i="34"/>
  <c r="T79" i="34"/>
  <c r="AF79" i="34"/>
  <c r="AC79" i="34"/>
  <c r="I78" i="34"/>
  <c r="Q77" i="34"/>
  <c r="U77" i="34"/>
  <c r="I77" i="34"/>
  <c r="Y77" i="34"/>
  <c r="M77" i="34"/>
  <c r="AC77" i="34"/>
  <c r="I76" i="34"/>
  <c r="AC76" i="34"/>
  <c r="V76" i="34"/>
  <c r="AD76" i="34"/>
  <c r="J76" i="34"/>
  <c r="T74" i="34"/>
  <c r="E257" i="35"/>
  <c r="AC74" i="34"/>
  <c r="U74" i="34"/>
  <c r="H74" i="34"/>
  <c r="Y74" i="34"/>
  <c r="I74" i="34"/>
  <c r="I146" i="34"/>
  <c r="K258" i="35"/>
  <c r="F133" i="34"/>
  <c r="V27" i="34"/>
  <c r="Y79" i="34"/>
  <c r="K110" i="35"/>
  <c r="K259" i="35"/>
  <c r="Y31" i="34"/>
  <c r="J120" i="34"/>
  <c r="Q146" i="34"/>
  <c r="AF133" i="34"/>
  <c r="U120" i="34"/>
  <c r="S30" i="34"/>
  <c r="N29" i="34"/>
  <c r="W146" i="34"/>
  <c r="Y146" i="34"/>
  <c r="O133" i="34"/>
  <c r="C6" i="13"/>
  <c r="K113" i="35"/>
  <c r="W90" i="34"/>
  <c r="W28" i="34"/>
  <c r="H27" i="34"/>
  <c r="L120" i="34"/>
  <c r="K183" i="35"/>
  <c r="K257" i="35"/>
  <c r="K256" i="35"/>
  <c r="X133" i="34"/>
  <c r="H28" i="34"/>
  <c r="O28" i="34"/>
  <c r="T107" i="34"/>
  <c r="K90" i="34"/>
  <c r="K28" i="34"/>
  <c r="L146" i="34"/>
  <c r="Q107" i="34"/>
  <c r="W78" i="34"/>
  <c r="Y107" i="34"/>
  <c r="S120" i="34"/>
  <c r="M78" i="34"/>
  <c r="AC90" i="34"/>
  <c r="AC28" i="34"/>
  <c r="Q30" i="34"/>
  <c r="AE29" i="34"/>
  <c r="R94" i="34"/>
  <c r="P31" i="34"/>
  <c r="T30" i="34"/>
  <c r="AB27" i="34"/>
  <c r="N107" i="34"/>
  <c r="H78" i="34"/>
  <c r="V32" i="34"/>
  <c r="R146" i="34"/>
  <c r="AB146" i="34"/>
  <c r="Z133" i="34"/>
  <c r="U94" i="34"/>
  <c r="N146" i="34"/>
  <c r="I133" i="34"/>
  <c r="I32" i="34"/>
  <c r="Y133" i="34"/>
  <c r="U90" i="34"/>
  <c r="U28" i="34"/>
  <c r="O78" i="34"/>
  <c r="N79" i="34"/>
  <c r="U78" i="34"/>
  <c r="AC78" i="34"/>
  <c r="AB133" i="34"/>
  <c r="G329" i="35"/>
  <c r="I28" i="34"/>
  <c r="T31" i="34"/>
  <c r="H30" i="34"/>
  <c r="L30" i="34"/>
  <c r="J29" i="34"/>
  <c r="AC146" i="34"/>
  <c r="AD133" i="34"/>
  <c r="AD32" i="34"/>
  <c r="M120" i="34"/>
  <c r="AC133" i="34"/>
  <c r="AC32" i="34"/>
  <c r="O146" i="34"/>
  <c r="J133" i="34"/>
  <c r="J107" i="34"/>
  <c r="J32" i="34"/>
  <c r="W94" i="34"/>
  <c r="AA90" i="34"/>
  <c r="AA28" i="34"/>
  <c r="AE78" i="34"/>
  <c r="H107" i="34"/>
  <c r="U30" i="34"/>
  <c r="X79" i="34"/>
  <c r="R90" i="34"/>
  <c r="R28" i="34"/>
  <c r="AF94" i="34"/>
  <c r="G28" i="34"/>
  <c r="S94" i="34"/>
  <c r="S146" i="34"/>
  <c r="AF120" i="34"/>
  <c r="J90" i="34"/>
  <c r="J28" i="34"/>
  <c r="K146" i="34"/>
  <c r="X90" i="34"/>
  <c r="X28" i="34"/>
  <c r="AE107" i="34"/>
  <c r="AE32" i="34"/>
  <c r="T27" i="34"/>
  <c r="V90" i="34"/>
  <c r="V28" i="34"/>
  <c r="U146" i="34"/>
  <c r="U32" i="34"/>
  <c r="T146" i="34"/>
  <c r="AB90" i="34"/>
  <c r="AB28" i="34"/>
  <c r="P120" i="34"/>
  <c r="M107" i="34"/>
  <c r="R31" i="34"/>
  <c r="N90" i="34"/>
  <c r="N28" i="34"/>
  <c r="AA30" i="34"/>
  <c r="O120" i="34"/>
  <c r="W120" i="34"/>
  <c r="Z90" i="34"/>
  <c r="Z28" i="34"/>
  <c r="AA94" i="34"/>
  <c r="AA32" i="34"/>
  <c r="X120" i="34"/>
  <c r="X32" i="34"/>
  <c r="L90" i="34"/>
  <c r="L28" i="34"/>
  <c r="AD90" i="34"/>
  <c r="AD28" i="34"/>
  <c r="Q133" i="34"/>
  <c r="Q32" i="34"/>
  <c r="M94" i="34"/>
  <c r="AB94" i="34"/>
  <c r="T90" i="34"/>
  <c r="T28" i="34"/>
  <c r="K107" i="34"/>
  <c r="J329" i="35"/>
  <c r="K186" i="35"/>
  <c r="J332" i="35"/>
  <c r="K184" i="35"/>
  <c r="L32" i="34"/>
  <c r="P107" i="34"/>
  <c r="P32" i="34"/>
  <c r="W107" i="34"/>
  <c r="P90" i="34"/>
  <c r="P28" i="34"/>
  <c r="J330" i="35"/>
  <c r="E206" i="35"/>
  <c r="E5" i="35"/>
  <c r="K329" i="35"/>
  <c r="H330" i="35"/>
  <c r="J39" i="35"/>
  <c r="F143" i="34"/>
  <c r="H39" i="35"/>
  <c r="F117" i="34"/>
  <c r="F128" i="34"/>
  <c r="I37" i="35"/>
  <c r="I330" i="35"/>
  <c r="G332" i="35"/>
  <c r="I331" i="35"/>
  <c r="F259" i="35"/>
  <c r="F184" i="35"/>
  <c r="D6" i="13"/>
  <c r="J38" i="35"/>
  <c r="F142" i="34"/>
  <c r="F116" i="34"/>
  <c r="H38" i="35"/>
  <c r="F90" i="34"/>
  <c r="I40" i="35"/>
  <c r="F131" i="34"/>
  <c r="G40" i="35"/>
  <c r="F105" i="34"/>
  <c r="E6" i="13"/>
  <c r="F111" i="35"/>
  <c r="F115" i="34"/>
  <c r="H37" i="35"/>
  <c r="C5" i="35"/>
  <c r="C206" i="35"/>
  <c r="H40" i="35"/>
  <c r="F118" i="34"/>
  <c r="H332" i="35"/>
  <c r="I332" i="35"/>
  <c r="G330" i="35"/>
  <c r="F258" i="35"/>
  <c r="F256" i="35"/>
  <c r="F257" i="35"/>
  <c r="F183" i="35"/>
  <c r="D5" i="13"/>
  <c r="F132" i="34"/>
  <c r="F106" i="34"/>
  <c r="I38" i="35"/>
  <c r="F129" i="34"/>
  <c r="G38" i="35"/>
  <c r="F103" i="34"/>
  <c r="H329" i="35"/>
  <c r="H110" i="35"/>
  <c r="F102" i="34"/>
  <c r="G37" i="35"/>
  <c r="D5" i="35"/>
  <c r="D206" i="35"/>
  <c r="F60" i="35"/>
  <c r="F186" i="35"/>
  <c r="D8" i="13"/>
  <c r="F110" i="35"/>
  <c r="E5" i="13"/>
  <c r="J40" i="35"/>
  <c r="F144" i="34"/>
  <c r="C8" i="13"/>
  <c r="F92" i="34"/>
  <c r="F40" i="35"/>
  <c r="F91" i="34"/>
  <c r="F39" i="35"/>
  <c r="C7" i="13"/>
  <c r="F112" i="35"/>
  <c r="E7" i="13"/>
  <c r="G64" i="34"/>
  <c r="G43" i="34"/>
  <c r="H331" i="35"/>
  <c r="J331" i="35"/>
  <c r="G331" i="35"/>
  <c r="F185" i="35"/>
  <c r="D7" i="13"/>
  <c r="F113" i="35"/>
  <c r="E8" i="13"/>
  <c r="I39" i="35"/>
  <c r="F130" i="34"/>
  <c r="G39" i="35"/>
  <c r="F104" i="34"/>
  <c r="F145" i="34"/>
  <c r="F119" i="34"/>
  <c r="F93" i="34"/>
  <c r="F141" i="34"/>
  <c r="J37" i="35"/>
  <c r="C5" i="13"/>
  <c r="F37" i="35"/>
  <c r="F89" i="34"/>
  <c r="I329" i="35"/>
  <c r="I183" i="35"/>
  <c r="C284" i="35"/>
  <c r="C282" i="35"/>
  <c r="C211" i="35"/>
  <c r="C134" i="35"/>
  <c r="C137" i="35"/>
  <c r="C281" i="35"/>
  <c r="C208" i="35"/>
  <c r="C61" i="35"/>
  <c r="C63" i="35"/>
  <c r="C65" i="35"/>
  <c r="C138" i="35"/>
  <c r="C280" i="35"/>
  <c r="C209" i="35"/>
  <c r="C135" i="35"/>
  <c r="C283" i="35"/>
  <c r="C207" i="35"/>
  <c r="C210" i="35"/>
  <c r="C62" i="35"/>
  <c r="C64" i="35"/>
  <c r="C136" i="35"/>
  <c r="G62" i="34"/>
  <c r="F330" i="35"/>
  <c r="F329" i="35"/>
  <c r="K331" i="35"/>
  <c r="K185" i="35"/>
  <c r="F331" i="35"/>
  <c r="F332" i="35"/>
  <c r="K78" i="34"/>
  <c r="J75" i="34"/>
  <c r="AB78" i="34"/>
  <c r="I79" i="34"/>
  <c r="Y75" i="34"/>
  <c r="P78" i="34"/>
  <c r="E185" i="35"/>
  <c r="E186" i="35"/>
  <c r="Z75" i="34"/>
  <c r="E183" i="35"/>
  <c r="M74" i="34"/>
  <c r="E256" i="35"/>
  <c r="E38" i="35"/>
  <c r="J79" i="34"/>
  <c r="E258" i="35"/>
  <c r="E37" i="35"/>
  <c r="E39" i="35"/>
  <c r="E184" i="35"/>
  <c r="Z77" i="34"/>
  <c r="X74" i="34"/>
  <c r="T76" i="34"/>
  <c r="AA77" i="34"/>
  <c r="AD74" i="34"/>
  <c r="N75" i="34"/>
  <c r="P77" i="34"/>
  <c r="R79" i="34"/>
  <c r="U75" i="34"/>
  <c r="AD75" i="34"/>
  <c r="N77" i="34"/>
  <c r="E40" i="35"/>
  <c r="O77" i="34"/>
  <c r="X76" i="34"/>
  <c r="Y32" i="34"/>
  <c r="V75" i="34"/>
  <c r="H76" i="34"/>
  <c r="R75" i="34"/>
  <c r="E113" i="35"/>
  <c r="N74" i="34"/>
  <c r="Z74" i="34"/>
  <c r="J74" i="34"/>
  <c r="V74" i="34"/>
  <c r="H79" i="34"/>
  <c r="E111" i="35"/>
  <c r="X75" i="34"/>
  <c r="E259" i="35"/>
  <c r="K74" i="34"/>
  <c r="J77" i="34"/>
  <c r="AB76" i="34"/>
  <c r="L78" i="34"/>
  <c r="W79" i="34"/>
  <c r="O79" i="34"/>
  <c r="F78" i="34"/>
  <c r="G61" i="34"/>
  <c r="G14" i="34"/>
  <c r="G17" i="34"/>
  <c r="K332" i="35"/>
  <c r="M32" i="34"/>
  <c r="R32" i="34"/>
  <c r="F38" i="35"/>
  <c r="W32" i="34"/>
  <c r="K330" i="35"/>
  <c r="S32" i="34"/>
  <c r="AB32" i="34"/>
  <c r="N32" i="34"/>
  <c r="Z146" i="34"/>
  <c r="Z32" i="34"/>
  <c r="G63" i="34"/>
  <c r="G16" i="34"/>
  <c r="F107" i="34"/>
  <c r="T94" i="34"/>
  <c r="T32" i="34"/>
  <c r="K120" i="34"/>
  <c r="K32" i="34"/>
  <c r="E10" i="13"/>
  <c r="AF32" i="34"/>
  <c r="O107" i="34"/>
  <c r="O32" i="34"/>
  <c r="E133" i="35"/>
  <c r="E279" i="35"/>
  <c r="E351" i="35"/>
  <c r="G66" i="34"/>
  <c r="G19" i="34"/>
  <c r="C119" i="13"/>
  <c r="C132" i="13"/>
  <c r="C105" i="13"/>
  <c r="C92" i="13"/>
  <c r="C121" i="13"/>
  <c r="C134" i="13"/>
  <c r="C64" i="13"/>
  <c r="F8" i="13"/>
  <c r="C34" i="13"/>
  <c r="C19" i="13"/>
  <c r="C77" i="13"/>
  <c r="C49" i="13"/>
  <c r="D9" i="13"/>
  <c r="C90" i="13"/>
  <c r="C103" i="13"/>
  <c r="F6" i="13"/>
  <c r="C32" i="13"/>
  <c r="C75" i="13"/>
  <c r="C47" i="13"/>
  <c r="C62" i="13"/>
  <c r="C17" i="13"/>
  <c r="G60" i="35"/>
  <c r="C91" i="13"/>
  <c r="C104" i="13"/>
  <c r="C9" i="13"/>
  <c r="D351" i="35"/>
  <c r="D133" i="35"/>
  <c r="D279" i="35"/>
  <c r="C351" i="35"/>
  <c r="C133" i="35"/>
  <c r="C279" i="35"/>
  <c r="G65" i="34"/>
  <c r="G18" i="34"/>
  <c r="C61" i="13"/>
  <c r="C74" i="13"/>
  <c r="C31" i="13"/>
  <c r="C46" i="13"/>
  <c r="F5" i="13"/>
  <c r="C16" i="13"/>
  <c r="C135" i="13"/>
  <c r="C122" i="13"/>
  <c r="C48" i="13"/>
  <c r="C33" i="13"/>
  <c r="C63" i="13"/>
  <c r="C76" i="13"/>
  <c r="F7" i="13"/>
  <c r="C18" i="13"/>
  <c r="C93" i="13"/>
  <c r="C106" i="13"/>
  <c r="F206" i="35"/>
  <c r="F5" i="35"/>
  <c r="C120" i="13"/>
  <c r="C133" i="13"/>
  <c r="E9" i="13"/>
  <c r="C356" i="35"/>
  <c r="D65" i="35"/>
  <c r="E65" i="35"/>
  <c r="F65" i="35"/>
  <c r="G65" i="35"/>
  <c r="C354" i="35"/>
  <c r="D63" i="35"/>
  <c r="E63" i="35"/>
  <c r="F63" i="35"/>
  <c r="C352" i="35"/>
  <c r="D61" i="35"/>
  <c r="C353" i="35"/>
  <c r="D62" i="35"/>
  <c r="E62" i="35"/>
  <c r="F62" i="35"/>
  <c r="C355" i="35"/>
  <c r="D64" i="35"/>
  <c r="E64" i="35"/>
  <c r="F64" i="35"/>
  <c r="G42" i="34"/>
  <c r="G41" i="34"/>
  <c r="G15" i="34"/>
  <c r="G40" i="34"/>
  <c r="F76" i="34"/>
  <c r="E329" i="35"/>
  <c r="F79" i="34"/>
  <c r="G45" i="34"/>
  <c r="F74" i="34"/>
  <c r="F77" i="34"/>
  <c r="F75" i="34"/>
  <c r="I66" i="34"/>
  <c r="H146" i="34"/>
  <c r="H32" i="34"/>
  <c r="F120" i="34"/>
  <c r="F94" i="34"/>
  <c r="F146" i="34"/>
  <c r="G62" i="35"/>
  <c r="G64" i="35"/>
  <c r="G63" i="35"/>
  <c r="H60" i="35"/>
  <c r="H63" i="35"/>
  <c r="H61" i="34"/>
  <c r="G44" i="34"/>
  <c r="C137" i="13"/>
  <c r="C124" i="13"/>
  <c r="C136" i="13"/>
  <c r="D136" i="13"/>
  <c r="C123" i="13"/>
  <c r="H63" i="34"/>
  <c r="G206" i="35"/>
  <c r="G5" i="35"/>
  <c r="H62" i="34"/>
  <c r="H65" i="34"/>
  <c r="F351" i="35"/>
  <c r="F133" i="35"/>
  <c r="F279" i="35"/>
  <c r="H64" i="34"/>
  <c r="C94" i="13"/>
  <c r="C107" i="13"/>
  <c r="H66" i="34"/>
  <c r="C50" i="13"/>
  <c r="C78" i="13"/>
  <c r="C20" i="13"/>
  <c r="F9" i="13"/>
  <c r="C35" i="13"/>
  <c r="C65" i="13"/>
  <c r="H64" i="35"/>
  <c r="I64" i="34"/>
  <c r="E61" i="35"/>
  <c r="D132" i="13"/>
  <c r="I62" i="34"/>
  <c r="E331" i="35"/>
  <c r="E330" i="35"/>
  <c r="D133" i="13"/>
  <c r="E332" i="35"/>
  <c r="I65" i="34"/>
  <c r="I44" i="34"/>
  <c r="I61" i="34"/>
  <c r="I40" i="34"/>
  <c r="C10" i="13"/>
  <c r="D10" i="13"/>
  <c r="D124" i="13"/>
  <c r="H65" i="35"/>
  <c r="H40" i="34"/>
  <c r="H14" i="34"/>
  <c r="I60" i="35"/>
  <c r="I64" i="35"/>
  <c r="I43" i="34"/>
  <c r="I17" i="34"/>
  <c r="D122" i="13"/>
  <c r="D120" i="13"/>
  <c r="H17" i="34"/>
  <c r="H43" i="34"/>
  <c r="I63" i="34"/>
  <c r="D121" i="13"/>
  <c r="H16" i="34"/>
  <c r="H42" i="34"/>
  <c r="D123" i="13"/>
  <c r="D137" i="13"/>
  <c r="D135" i="13"/>
  <c r="H62" i="35"/>
  <c r="H41" i="34"/>
  <c r="H15" i="34"/>
  <c r="I45" i="34"/>
  <c r="I19" i="34"/>
  <c r="H45" i="34"/>
  <c r="H19" i="34"/>
  <c r="H44" i="34"/>
  <c r="H18" i="34"/>
  <c r="D119" i="13"/>
  <c r="H5" i="35"/>
  <c r="H206" i="35"/>
  <c r="G133" i="35"/>
  <c r="G279" i="35"/>
  <c r="G351" i="35"/>
  <c r="I41" i="34"/>
  <c r="I15" i="34"/>
  <c r="D134" i="13"/>
  <c r="F61" i="35"/>
  <c r="I14" i="34"/>
  <c r="I18" i="34"/>
  <c r="C95" i="13"/>
  <c r="C108" i="13"/>
  <c r="C21" i="13"/>
  <c r="C36" i="13"/>
  <c r="F10" i="13"/>
  <c r="C79" i="13"/>
  <c r="C66" i="13"/>
  <c r="C51" i="13"/>
  <c r="K64" i="34"/>
  <c r="K43" i="34"/>
  <c r="I62" i="35"/>
  <c r="I65" i="35"/>
  <c r="I63" i="35"/>
  <c r="H133" i="35"/>
  <c r="H279" i="35"/>
  <c r="H351" i="35"/>
  <c r="J66" i="34"/>
  <c r="J64" i="34"/>
  <c r="J60" i="35"/>
  <c r="J61" i="34"/>
  <c r="J65" i="34"/>
  <c r="J63" i="34"/>
  <c r="I16" i="34"/>
  <c r="I42" i="34"/>
  <c r="J62" i="34"/>
  <c r="I206" i="35"/>
  <c r="I5" i="35"/>
  <c r="G61" i="35"/>
  <c r="K61" i="34"/>
  <c r="K14" i="34"/>
  <c r="K17" i="34"/>
  <c r="J62" i="35"/>
  <c r="D74" i="13"/>
  <c r="D75" i="13"/>
  <c r="D79" i="13"/>
  <c r="D78" i="13"/>
  <c r="D77" i="13"/>
  <c r="D76" i="13"/>
  <c r="D65" i="13"/>
  <c r="D61" i="13"/>
  <c r="D64" i="13"/>
  <c r="N61" i="13"/>
  <c r="D63" i="13"/>
  <c r="D66" i="13"/>
  <c r="D62" i="13"/>
  <c r="N60" i="13"/>
  <c r="N15" i="13"/>
  <c r="D17" i="13"/>
  <c r="D18" i="13"/>
  <c r="D16" i="13"/>
  <c r="D20" i="13"/>
  <c r="D21" i="13"/>
  <c r="N16" i="13"/>
  <c r="D19" i="13"/>
  <c r="K63" i="34"/>
  <c r="K42" i="34"/>
  <c r="D107" i="13"/>
  <c r="D104" i="13"/>
  <c r="D103" i="13"/>
  <c r="D106" i="13"/>
  <c r="D108" i="13"/>
  <c r="D105" i="13"/>
  <c r="K62" i="34"/>
  <c r="K15" i="34"/>
  <c r="D46" i="13"/>
  <c r="D51" i="13"/>
  <c r="D47" i="13"/>
  <c r="D50" i="13"/>
  <c r="D49" i="13"/>
  <c r="D48" i="13"/>
  <c r="D35" i="13"/>
  <c r="D31" i="13"/>
  <c r="D33" i="13"/>
  <c r="D34" i="13"/>
  <c r="D36" i="13"/>
  <c r="D32" i="13"/>
  <c r="D92" i="13"/>
  <c r="D90" i="13"/>
  <c r="D95" i="13"/>
  <c r="D94" i="13"/>
  <c r="D91" i="13"/>
  <c r="D93" i="13"/>
  <c r="L64" i="34"/>
  <c r="J19" i="34"/>
  <c r="J45" i="34"/>
  <c r="K40" i="34"/>
  <c r="J40" i="34"/>
  <c r="J14" i="34"/>
  <c r="K60" i="35"/>
  <c r="K66" i="34"/>
  <c r="I351" i="35"/>
  <c r="I133" i="35"/>
  <c r="I279" i="35"/>
  <c r="J42" i="34"/>
  <c r="J16" i="34"/>
  <c r="J15" i="34"/>
  <c r="J41" i="34"/>
  <c r="J18" i="34"/>
  <c r="J44" i="34"/>
  <c r="J5" i="35"/>
  <c r="J206" i="35"/>
  <c r="J63" i="35"/>
  <c r="K65" i="34"/>
  <c r="J43" i="34"/>
  <c r="J17" i="34"/>
  <c r="J65" i="35"/>
  <c r="J64" i="35"/>
  <c r="H61" i="35"/>
  <c r="K41" i="34"/>
  <c r="L61" i="34"/>
  <c r="L14" i="34"/>
  <c r="K16" i="34"/>
  <c r="K65" i="35"/>
  <c r="K44" i="34"/>
  <c r="K18" i="34"/>
  <c r="K206" i="35"/>
  <c r="K5" i="35"/>
  <c r="K63" i="35"/>
  <c r="L63" i="34"/>
  <c r="L62" i="34"/>
  <c r="K19" i="34"/>
  <c r="K45" i="34"/>
  <c r="L60" i="35"/>
  <c r="K62" i="35"/>
  <c r="L62" i="35"/>
  <c r="L65" i="34"/>
  <c r="K64" i="35"/>
  <c r="L64" i="35"/>
  <c r="L66" i="34"/>
  <c r="J133" i="35"/>
  <c r="J279" i="35"/>
  <c r="J351" i="35"/>
  <c r="M64" i="34"/>
  <c r="L43" i="34"/>
  <c r="L17" i="34"/>
  <c r="I61" i="35"/>
  <c r="L40" i="34"/>
  <c r="M62" i="34"/>
  <c r="M41" i="34"/>
  <c r="M43" i="34"/>
  <c r="M17" i="34"/>
  <c r="M15" i="34"/>
  <c r="L206" i="35"/>
  <c r="L5" i="35"/>
  <c r="M63" i="34"/>
  <c r="L42" i="34"/>
  <c r="L16" i="34"/>
  <c r="L63" i="35"/>
  <c r="K133" i="35"/>
  <c r="K279" i="35"/>
  <c r="K351" i="35"/>
  <c r="M65" i="34"/>
  <c r="L65" i="35"/>
  <c r="M61" i="34"/>
  <c r="M66" i="34"/>
  <c r="L19" i="34"/>
  <c r="L45" i="34"/>
  <c r="L44" i="34"/>
  <c r="L18" i="34"/>
  <c r="M60" i="35"/>
  <c r="M64" i="35"/>
  <c r="L15" i="34"/>
  <c r="L41" i="34"/>
  <c r="J61" i="35"/>
  <c r="N66" i="34"/>
  <c r="N19" i="34"/>
  <c r="N61" i="34"/>
  <c r="N40" i="34"/>
  <c r="M65" i="35"/>
  <c r="N60" i="35"/>
  <c r="N65" i="35"/>
  <c r="M63" i="35"/>
  <c r="O64" i="34"/>
  <c r="N64" i="34"/>
  <c r="L351" i="35"/>
  <c r="L133" i="35"/>
  <c r="L279" i="35"/>
  <c r="N63" i="34"/>
  <c r="M206" i="35"/>
  <c r="M5" i="35"/>
  <c r="M42" i="34"/>
  <c r="M16" i="34"/>
  <c r="M45" i="34"/>
  <c r="M19" i="34"/>
  <c r="N62" i="34"/>
  <c r="M40" i="34"/>
  <c r="M14" i="34"/>
  <c r="M18" i="34"/>
  <c r="M44" i="34"/>
  <c r="M62" i="35"/>
  <c r="N62" i="35"/>
  <c r="N65" i="34"/>
  <c r="K61" i="35"/>
  <c r="N45" i="34"/>
  <c r="N14" i="34"/>
  <c r="O61" i="34"/>
  <c r="O63" i="34"/>
  <c r="M133" i="35"/>
  <c r="M279" i="35"/>
  <c r="M351" i="35"/>
  <c r="O66" i="34"/>
  <c r="N41" i="34"/>
  <c r="N15" i="34"/>
  <c r="N5" i="35"/>
  <c r="N206" i="35"/>
  <c r="O65" i="34"/>
  <c r="N42" i="34"/>
  <c r="N16" i="34"/>
  <c r="N64" i="35"/>
  <c r="N43" i="34"/>
  <c r="N17" i="34"/>
  <c r="O43" i="34"/>
  <c r="O17" i="34"/>
  <c r="O60" i="35"/>
  <c r="O62" i="35"/>
  <c r="P64" i="34"/>
  <c r="N44" i="34"/>
  <c r="N18" i="34"/>
  <c r="N63" i="35"/>
  <c r="O62" i="34"/>
  <c r="L61" i="35"/>
  <c r="P61" i="34"/>
  <c r="P14" i="34"/>
  <c r="P63" i="34"/>
  <c r="P42" i="34"/>
  <c r="O40" i="34"/>
  <c r="O14" i="34"/>
  <c r="P65" i="34"/>
  <c r="P44" i="34"/>
  <c r="O63" i="35"/>
  <c r="O65" i="35"/>
  <c r="O64" i="35"/>
  <c r="O44" i="34"/>
  <c r="O18" i="34"/>
  <c r="O19" i="34"/>
  <c r="O45" i="34"/>
  <c r="O42" i="34"/>
  <c r="O16" i="34"/>
  <c r="P60" i="35"/>
  <c r="P43" i="34"/>
  <c r="P17" i="34"/>
  <c r="O5" i="35"/>
  <c r="O206" i="35"/>
  <c r="P62" i="34"/>
  <c r="N351" i="35"/>
  <c r="N133" i="35"/>
  <c r="N279" i="35"/>
  <c r="P66" i="34"/>
  <c r="O15" i="34"/>
  <c r="O41" i="34"/>
  <c r="Q62" i="34"/>
  <c r="Q64" i="34"/>
  <c r="M61" i="35"/>
  <c r="P16" i="34"/>
  <c r="P18" i="34"/>
  <c r="P64" i="35"/>
  <c r="P40" i="34"/>
  <c r="Q65" i="34"/>
  <c r="Q44" i="34"/>
  <c r="Q63" i="34"/>
  <c r="R61" i="34"/>
  <c r="R40" i="34"/>
  <c r="Q66" i="34"/>
  <c r="P65" i="35"/>
  <c r="Q61" i="34"/>
  <c r="P19" i="34"/>
  <c r="P45" i="34"/>
  <c r="Q60" i="35"/>
  <c r="Q64" i="35"/>
  <c r="R66" i="34"/>
  <c r="P5" i="35"/>
  <c r="P206" i="35"/>
  <c r="P62" i="35"/>
  <c r="Q62" i="35"/>
  <c r="P63" i="35"/>
  <c r="Q63" i="35"/>
  <c r="R64" i="34"/>
  <c r="Q43" i="34"/>
  <c r="Q17" i="34"/>
  <c r="Q41" i="34"/>
  <c r="Q15" i="34"/>
  <c r="P15" i="34"/>
  <c r="P41" i="34"/>
  <c r="O133" i="35"/>
  <c r="O279" i="35"/>
  <c r="O351" i="35"/>
  <c r="N61" i="35"/>
  <c r="Q18" i="34"/>
  <c r="R14" i="34"/>
  <c r="Q45" i="34"/>
  <c r="Q19" i="34"/>
  <c r="Q16" i="34"/>
  <c r="Q42" i="34"/>
  <c r="R17" i="34"/>
  <c r="R43" i="34"/>
  <c r="Q40" i="34"/>
  <c r="Q14" i="34"/>
  <c r="R65" i="34"/>
  <c r="R63" i="34"/>
  <c r="P351" i="35"/>
  <c r="P133" i="35"/>
  <c r="P279" i="35"/>
  <c r="R19" i="34"/>
  <c r="R45" i="34"/>
  <c r="Q5" i="35"/>
  <c r="Q206" i="35"/>
  <c r="R60" i="35"/>
  <c r="R62" i="35"/>
  <c r="S64" i="34"/>
  <c r="Q65" i="35"/>
  <c r="R62" i="34"/>
  <c r="R63" i="35"/>
  <c r="O61" i="35"/>
  <c r="T66" i="34"/>
  <c r="T45" i="34"/>
  <c r="S65" i="34"/>
  <c r="R64" i="35"/>
  <c r="T64" i="34"/>
  <c r="R42" i="34"/>
  <c r="R16" i="34"/>
  <c r="S63" i="34"/>
  <c r="S60" i="35"/>
  <c r="S63" i="35"/>
  <c r="R65" i="35"/>
  <c r="Q351" i="35"/>
  <c r="Q133" i="35"/>
  <c r="Q279" i="35"/>
  <c r="R18" i="34"/>
  <c r="R44" i="34"/>
  <c r="S62" i="34"/>
  <c r="S43" i="34"/>
  <c r="S17" i="34"/>
  <c r="S66" i="34"/>
  <c r="R41" i="34"/>
  <c r="R15" i="34"/>
  <c r="T63" i="34"/>
  <c r="R5" i="35"/>
  <c r="R206" i="35"/>
  <c r="S61" i="34"/>
  <c r="P61" i="35"/>
  <c r="T19" i="34"/>
  <c r="T62" i="34"/>
  <c r="T41" i="34"/>
  <c r="T61" i="34"/>
  <c r="T14" i="34"/>
  <c r="S44" i="34"/>
  <c r="S18" i="34"/>
  <c r="T60" i="35"/>
  <c r="S15" i="34"/>
  <c r="S41" i="34"/>
  <c r="U64" i="34"/>
  <c r="S40" i="34"/>
  <c r="S14" i="34"/>
  <c r="S45" i="34"/>
  <c r="S19" i="34"/>
  <c r="T65" i="34"/>
  <c r="T40" i="34"/>
  <c r="T63" i="35"/>
  <c r="R351" i="35"/>
  <c r="R133" i="35"/>
  <c r="R279" i="35"/>
  <c r="T42" i="34"/>
  <c r="T16" i="34"/>
  <c r="U61" i="34"/>
  <c r="S5" i="35"/>
  <c r="S206" i="35"/>
  <c r="S65" i="35"/>
  <c r="T65" i="35"/>
  <c r="T43" i="34"/>
  <c r="T17" i="34"/>
  <c r="S62" i="35"/>
  <c r="T62" i="35"/>
  <c r="S42" i="34"/>
  <c r="S16" i="34"/>
  <c r="T15" i="34"/>
  <c r="S64" i="35"/>
  <c r="T64" i="35"/>
  <c r="Q61" i="35"/>
  <c r="U66" i="34"/>
  <c r="U19" i="34"/>
  <c r="U65" i="34"/>
  <c r="U63" i="34"/>
  <c r="U62" i="34"/>
  <c r="U41" i="34"/>
  <c r="U43" i="34"/>
  <c r="U17" i="34"/>
  <c r="T206" i="35"/>
  <c r="T5" i="35"/>
  <c r="S351" i="35"/>
  <c r="S133" i="35"/>
  <c r="S279" i="35"/>
  <c r="V63" i="34"/>
  <c r="V64" i="34"/>
  <c r="U40" i="34"/>
  <c r="U14" i="34"/>
  <c r="T44" i="34"/>
  <c r="T18" i="34"/>
  <c r="U60" i="35"/>
  <c r="U65" i="35"/>
  <c r="R61" i="35"/>
  <c r="U15" i="34"/>
  <c r="U45" i="34"/>
  <c r="V66" i="34"/>
  <c r="V19" i="34"/>
  <c r="U18" i="34"/>
  <c r="U44" i="34"/>
  <c r="U16" i="34"/>
  <c r="U42" i="34"/>
  <c r="V62" i="34"/>
  <c r="V16" i="34"/>
  <c r="V42" i="34"/>
  <c r="V60" i="35"/>
  <c r="U5" i="35"/>
  <c r="U206" i="35"/>
  <c r="V43" i="34"/>
  <c r="V17" i="34"/>
  <c r="U64" i="35"/>
  <c r="V64" i="35"/>
  <c r="V61" i="34"/>
  <c r="W64" i="34"/>
  <c r="U63" i="35"/>
  <c r="V63" i="35"/>
  <c r="T351" i="35"/>
  <c r="T133" i="35"/>
  <c r="T279" i="35"/>
  <c r="V65" i="34"/>
  <c r="U62" i="35"/>
  <c r="V62" i="35"/>
  <c r="S61" i="35"/>
  <c r="V45" i="34"/>
  <c r="W62" i="34"/>
  <c r="W15" i="34"/>
  <c r="X64" i="34"/>
  <c r="V40" i="34"/>
  <c r="V14" i="34"/>
  <c r="W66" i="34"/>
  <c r="V5" i="35"/>
  <c r="V206" i="35"/>
  <c r="W63" i="34"/>
  <c r="U351" i="35"/>
  <c r="U133" i="35"/>
  <c r="U279" i="35"/>
  <c r="V65" i="35"/>
  <c r="W65" i="34"/>
  <c r="X62" i="34"/>
  <c r="X66" i="34"/>
  <c r="V18" i="34"/>
  <c r="V44" i="34"/>
  <c r="W17" i="34"/>
  <c r="W43" i="34"/>
  <c r="W60" i="35"/>
  <c r="W61" i="34"/>
  <c r="V41" i="34"/>
  <c r="V15" i="34"/>
  <c r="T61" i="35"/>
  <c r="W41" i="34"/>
  <c r="W65" i="35"/>
  <c r="X60" i="35"/>
  <c r="X65" i="35"/>
  <c r="X63" i="34"/>
  <c r="W18" i="34"/>
  <c r="W44" i="34"/>
  <c r="X65" i="34"/>
  <c r="V351" i="35"/>
  <c r="V133" i="35"/>
  <c r="V279" i="35"/>
  <c r="W19" i="34"/>
  <c r="W45" i="34"/>
  <c r="X15" i="34"/>
  <c r="X41" i="34"/>
  <c r="W42" i="34"/>
  <c r="W16" i="34"/>
  <c r="W14" i="34"/>
  <c r="W40" i="34"/>
  <c r="X45" i="34"/>
  <c r="X19" i="34"/>
  <c r="W5" i="35"/>
  <c r="W206" i="35"/>
  <c r="W64" i="35"/>
  <c r="X64" i="35"/>
  <c r="Y64" i="34"/>
  <c r="W63" i="35"/>
  <c r="X63" i="35"/>
  <c r="X61" i="34"/>
  <c r="X43" i="34"/>
  <c r="X17" i="34"/>
  <c r="W62" i="35"/>
  <c r="X62" i="35"/>
  <c r="U61" i="35"/>
  <c r="Y62" i="34"/>
  <c r="Y15" i="34"/>
  <c r="W133" i="35"/>
  <c r="W279" i="35"/>
  <c r="W351" i="35"/>
  <c r="Y41" i="34"/>
  <c r="Y61" i="34"/>
  <c r="Z64" i="34"/>
  <c r="X44" i="34"/>
  <c r="X18" i="34"/>
  <c r="Y60" i="35"/>
  <c r="Y64" i="35"/>
  <c r="X42" i="34"/>
  <c r="X16" i="34"/>
  <c r="Y65" i="34"/>
  <c r="X40" i="34"/>
  <c r="X14" i="34"/>
  <c r="Y43" i="34"/>
  <c r="Y17" i="34"/>
  <c r="Y66" i="34"/>
  <c r="Y63" i="34"/>
  <c r="X5" i="35"/>
  <c r="X206" i="35"/>
  <c r="V61" i="35"/>
  <c r="Z66" i="34"/>
  <c r="Z19" i="34"/>
  <c r="Y62" i="35"/>
  <c r="Y65" i="35"/>
  <c r="Y19" i="34"/>
  <c r="Y45" i="34"/>
  <c r="Y63" i="35"/>
  <c r="Z60" i="35"/>
  <c r="Z63" i="35"/>
  <c r="Z45" i="34"/>
  <c r="Z63" i="34"/>
  <c r="Y40" i="34"/>
  <c r="Y14" i="34"/>
  <c r="Z65" i="35"/>
  <c r="Z62" i="35"/>
  <c r="Z17" i="34"/>
  <c r="Z43" i="34"/>
  <c r="AA64" i="34"/>
  <c r="X133" i="35"/>
  <c r="X279" i="35"/>
  <c r="X351" i="35"/>
  <c r="Y42" i="34"/>
  <c r="Y16" i="34"/>
  <c r="Z61" i="34"/>
  <c r="Z62" i="34"/>
  <c r="Z65" i="34"/>
  <c r="Y18" i="34"/>
  <c r="Y44" i="34"/>
  <c r="Y5" i="35"/>
  <c r="Y206" i="35"/>
  <c r="W61" i="35"/>
  <c r="AA66" i="34"/>
  <c r="Z14" i="34"/>
  <c r="Z40" i="34"/>
  <c r="AA60" i="35"/>
  <c r="AA61" i="34"/>
  <c r="AA43" i="34"/>
  <c r="AA17" i="34"/>
  <c r="AA63" i="35"/>
  <c r="AA62" i="35"/>
  <c r="AA62" i="34"/>
  <c r="Z5" i="35"/>
  <c r="Z206" i="35"/>
  <c r="AB66" i="34"/>
  <c r="AA65" i="34"/>
  <c r="Y133" i="35"/>
  <c r="Y279" i="35"/>
  <c r="Y351" i="35"/>
  <c r="Z16" i="34"/>
  <c r="Z42" i="34"/>
  <c r="AB64" i="34"/>
  <c r="AA63" i="34"/>
  <c r="Z18" i="34"/>
  <c r="Z44" i="34"/>
  <c r="Z41" i="34"/>
  <c r="Z15" i="34"/>
  <c r="AA65" i="35"/>
  <c r="AA45" i="34"/>
  <c r="AA19" i="34"/>
  <c r="Z64" i="35"/>
  <c r="AA64" i="35"/>
  <c r="X61" i="35"/>
  <c r="AB65" i="34"/>
  <c r="AB63" i="34"/>
  <c r="AA42" i="34"/>
  <c r="AA16" i="34"/>
  <c r="AC64" i="34"/>
  <c r="AB62" i="34"/>
  <c r="Z351" i="35"/>
  <c r="Z133" i="35"/>
  <c r="Z279" i="35"/>
  <c r="AB60" i="35"/>
  <c r="AB65" i="35"/>
  <c r="AB43" i="34"/>
  <c r="AB17" i="34"/>
  <c r="AB45" i="34"/>
  <c r="AB19" i="34"/>
  <c r="AA40" i="34"/>
  <c r="AA14" i="34"/>
  <c r="AA206" i="35"/>
  <c r="AA5" i="35"/>
  <c r="AB61" i="34"/>
  <c r="AA44" i="34"/>
  <c r="AA18" i="34"/>
  <c r="AA41" i="34"/>
  <c r="AA15" i="34"/>
  <c r="Y61" i="35"/>
  <c r="AC63" i="34"/>
  <c r="AB44" i="34"/>
  <c r="AB18" i="34"/>
  <c r="AC61" i="34"/>
  <c r="AC14" i="34"/>
  <c r="AC62" i="34"/>
  <c r="AB64" i="35"/>
  <c r="AC66" i="34"/>
  <c r="AB14" i="34"/>
  <c r="AB40" i="34"/>
  <c r="AD64" i="34"/>
  <c r="AC17" i="34"/>
  <c r="AC43" i="34"/>
  <c r="AD66" i="34"/>
  <c r="AB5" i="35"/>
  <c r="AB206" i="35"/>
  <c r="AB41" i="34"/>
  <c r="AB15" i="34"/>
  <c r="AA351" i="35"/>
  <c r="AA133" i="35"/>
  <c r="AA279" i="35"/>
  <c r="AB62" i="35"/>
  <c r="AC65" i="34"/>
  <c r="AD62" i="34"/>
  <c r="AB63" i="35"/>
  <c r="AB42" i="34"/>
  <c r="AB16" i="34"/>
  <c r="Z61" i="35"/>
  <c r="AC40" i="34"/>
  <c r="AE66" i="34"/>
  <c r="AD63" i="34"/>
  <c r="AD16" i="34"/>
  <c r="AD61" i="34"/>
  <c r="AC42" i="34"/>
  <c r="AC16" i="34"/>
  <c r="AD43" i="34"/>
  <c r="AD17" i="34"/>
  <c r="AD65" i="34"/>
  <c r="AB351" i="35"/>
  <c r="AB133" i="35"/>
  <c r="AB279" i="35"/>
  <c r="AD15" i="34"/>
  <c r="AD41" i="34"/>
  <c r="AC45" i="34"/>
  <c r="AC19" i="34"/>
  <c r="AC41" i="34"/>
  <c r="AC15" i="34"/>
  <c r="AD19" i="34"/>
  <c r="AD45" i="34"/>
  <c r="AC44" i="34"/>
  <c r="AC18" i="34"/>
  <c r="AE64" i="34"/>
  <c r="AA61" i="35"/>
  <c r="AD42" i="34"/>
  <c r="AD40" i="34"/>
  <c r="AD14" i="34"/>
  <c r="D40" i="35"/>
  <c r="L8" i="13"/>
  <c r="D183" i="35"/>
  <c r="AD44" i="34"/>
  <c r="AD18" i="34"/>
  <c r="AE61" i="34"/>
  <c r="AE63" i="34"/>
  <c r="L5" i="13"/>
  <c r="D37" i="35"/>
  <c r="D184" i="35"/>
  <c r="L6" i="13"/>
  <c r="D38" i="35"/>
  <c r="D185" i="35"/>
  <c r="C39" i="35"/>
  <c r="L416" i="35"/>
  <c r="C15" i="35"/>
  <c r="AE62" i="34"/>
  <c r="N419" i="35"/>
  <c r="C188" i="35"/>
  <c r="C164" i="35"/>
  <c r="D186" i="35"/>
  <c r="N418" i="35"/>
  <c r="C187" i="35"/>
  <c r="C163" i="35"/>
  <c r="L418" i="35"/>
  <c r="C41" i="35"/>
  <c r="C17" i="35"/>
  <c r="C13" i="35"/>
  <c r="C37" i="35"/>
  <c r="L414" i="35"/>
  <c r="C159" i="35"/>
  <c r="N414" i="35"/>
  <c r="C183" i="35"/>
  <c r="L10" i="13"/>
  <c r="C186" i="35"/>
  <c r="C162" i="35"/>
  <c r="N417" i="35"/>
  <c r="L7" i="13"/>
  <c r="D39" i="35"/>
  <c r="AE43" i="34"/>
  <c r="AE17" i="34"/>
  <c r="L417" i="35"/>
  <c r="C40" i="35"/>
  <c r="C16" i="35"/>
  <c r="L9" i="13"/>
  <c r="AE19" i="34"/>
  <c r="AE45" i="34"/>
  <c r="C184" i="35"/>
  <c r="C160" i="35"/>
  <c r="N415" i="35"/>
  <c r="AE65" i="34"/>
  <c r="C38" i="35"/>
  <c r="C14" i="35"/>
  <c r="L415" i="35"/>
  <c r="C185" i="35"/>
  <c r="C161" i="35"/>
  <c r="N416" i="35"/>
  <c r="C42" i="35"/>
  <c r="C18" i="35"/>
  <c r="L419" i="35"/>
  <c r="AB61" i="35"/>
  <c r="E14" i="35"/>
  <c r="D14" i="35"/>
  <c r="E15" i="35"/>
  <c r="D15" i="35"/>
  <c r="AE16" i="34"/>
  <c r="AE42" i="34"/>
  <c r="E161" i="35"/>
  <c r="D161" i="35"/>
  <c r="AF63" i="34"/>
  <c r="AF62" i="34"/>
  <c r="E164" i="35"/>
  <c r="D164" i="35"/>
  <c r="AE41" i="34"/>
  <c r="AE15" i="34"/>
  <c r="E18" i="35"/>
  <c r="D18" i="35"/>
  <c r="AF66" i="34"/>
  <c r="AF64" i="34"/>
  <c r="E159" i="35"/>
  <c r="D159" i="35"/>
  <c r="E13" i="35"/>
  <c r="D13" i="35"/>
  <c r="D160" i="35"/>
  <c r="E163" i="35"/>
  <c r="D163" i="35"/>
  <c r="AF65" i="34"/>
  <c r="AE18" i="34"/>
  <c r="AE44" i="34"/>
  <c r="E160" i="35"/>
  <c r="E16" i="35"/>
  <c r="D16" i="35"/>
  <c r="E162" i="35"/>
  <c r="D162" i="35"/>
  <c r="AF61" i="34"/>
  <c r="E17" i="35"/>
  <c r="D17" i="35"/>
  <c r="AE14" i="34"/>
  <c r="AE40" i="34"/>
  <c r="C256" i="35"/>
  <c r="C232" i="35"/>
  <c r="O414" i="35"/>
  <c r="AF43" i="34"/>
  <c r="AF17" i="34"/>
  <c r="AF19" i="34"/>
  <c r="AF45" i="34"/>
  <c r="D259" i="35"/>
  <c r="AF42" i="34"/>
  <c r="AF16" i="34"/>
  <c r="C86" i="35"/>
  <c r="C110" i="35"/>
  <c r="M414" i="35"/>
  <c r="F65" i="34"/>
  <c r="B206" i="35"/>
  <c r="B279" i="35"/>
  <c r="D113" i="35"/>
  <c r="F64" i="34"/>
  <c r="C237" i="35"/>
  <c r="O419" i="35"/>
  <c r="C261" i="35"/>
  <c r="F66" i="34"/>
  <c r="O416" i="35"/>
  <c r="C258" i="35"/>
  <c r="C234" i="35"/>
  <c r="D111" i="35"/>
  <c r="F62" i="34"/>
  <c r="C235" i="35"/>
  <c r="C259" i="35"/>
  <c r="O417" i="35"/>
  <c r="D112" i="35"/>
  <c r="F63" i="34"/>
  <c r="C257" i="35"/>
  <c r="C233" i="35"/>
  <c r="O415" i="35"/>
  <c r="AF40" i="34"/>
  <c r="AF14" i="34"/>
  <c r="C113" i="35"/>
  <c r="C89" i="35"/>
  <c r="M417" i="35"/>
  <c r="C111" i="35"/>
  <c r="C87" i="35"/>
  <c r="M415" i="35"/>
  <c r="D110" i="35"/>
  <c r="F61" i="34"/>
  <c r="D258" i="35"/>
  <c r="AF18" i="34"/>
  <c r="AF44" i="34"/>
  <c r="C114" i="35"/>
  <c r="C90" i="35"/>
  <c r="M418" i="35"/>
  <c r="D256" i="35"/>
  <c r="C91" i="35"/>
  <c r="M419" i="35"/>
  <c r="C115" i="35"/>
  <c r="AF15" i="34"/>
  <c r="AF41" i="34"/>
  <c r="C112" i="35"/>
  <c r="M416" i="35"/>
  <c r="C88" i="35"/>
  <c r="C236" i="35"/>
  <c r="O418" i="35"/>
  <c r="C260" i="35"/>
  <c r="D257" i="35"/>
  <c r="A65" i="34"/>
  <c r="F18" i="34"/>
  <c r="F44" i="34"/>
  <c r="F31" i="34"/>
  <c r="D91" i="35"/>
  <c r="E91" i="35"/>
  <c r="E90" i="35"/>
  <c r="D90" i="35"/>
  <c r="F27" i="34"/>
  <c r="F40" i="34"/>
  <c r="A61" i="34"/>
  <c r="F14" i="34"/>
  <c r="E235" i="35"/>
  <c r="D235" i="35"/>
  <c r="F32" i="34"/>
  <c r="F19" i="34"/>
  <c r="F45" i="34"/>
  <c r="E237" i="35"/>
  <c r="D237" i="35"/>
  <c r="E86" i="35"/>
  <c r="D86" i="35"/>
  <c r="D331" i="35"/>
  <c r="D329" i="35"/>
  <c r="D89" i="35"/>
  <c r="E89" i="35"/>
  <c r="D330" i="35"/>
  <c r="D234" i="35"/>
  <c r="E234" i="35"/>
  <c r="D332" i="35"/>
  <c r="E232" i="35"/>
  <c r="D232" i="35"/>
  <c r="D88" i="35"/>
  <c r="E88" i="35"/>
  <c r="E236" i="35"/>
  <c r="D236" i="35"/>
  <c r="D87" i="35"/>
  <c r="E87" i="35"/>
  <c r="E233" i="35"/>
  <c r="D233" i="35"/>
  <c r="F42" i="34"/>
  <c r="F16" i="34"/>
  <c r="F29" i="34"/>
  <c r="A63" i="34"/>
  <c r="F28" i="34"/>
  <c r="A62" i="34"/>
  <c r="F41" i="34"/>
  <c r="F15" i="34"/>
  <c r="F43" i="34"/>
  <c r="A64" i="34"/>
  <c r="F17" i="34"/>
  <c r="F30" i="34"/>
  <c r="D209" i="35"/>
  <c r="E209" i="35"/>
  <c r="F209" i="35"/>
  <c r="G209" i="35"/>
  <c r="H209" i="35"/>
  <c r="I209" i="35"/>
  <c r="J209" i="35"/>
  <c r="K209" i="35"/>
  <c r="L209" i="35"/>
  <c r="M209" i="35"/>
  <c r="N209" i="35"/>
  <c r="O209" i="35"/>
  <c r="P209" i="35"/>
  <c r="Q209" i="35"/>
  <c r="R209" i="35"/>
  <c r="S209" i="35"/>
  <c r="T209" i="35"/>
  <c r="U209" i="35"/>
  <c r="V209" i="35"/>
  <c r="W209" i="35"/>
  <c r="X209" i="35"/>
  <c r="Y209" i="35"/>
  <c r="Z209" i="35"/>
  <c r="AA209" i="35"/>
  <c r="AB209" i="35"/>
  <c r="D283" i="35"/>
  <c r="E283" i="35"/>
  <c r="F283" i="35"/>
  <c r="G283" i="35"/>
  <c r="H283" i="35"/>
  <c r="I283" i="35"/>
  <c r="J283" i="35"/>
  <c r="K283" i="35"/>
  <c r="L283" i="35"/>
  <c r="M283" i="35"/>
  <c r="N283" i="35"/>
  <c r="O283" i="35"/>
  <c r="P283" i="35"/>
  <c r="Q283" i="35"/>
  <c r="R283" i="35"/>
  <c r="S283" i="35"/>
  <c r="T283" i="35"/>
  <c r="U283" i="35"/>
  <c r="V283" i="35"/>
  <c r="W283" i="35"/>
  <c r="X283" i="35"/>
  <c r="Y283" i="35"/>
  <c r="Z283" i="35"/>
  <c r="AA283" i="35"/>
  <c r="AB283" i="35"/>
  <c r="D211" i="35"/>
  <c r="E211" i="35"/>
  <c r="F211" i="35"/>
  <c r="G211" i="35"/>
  <c r="H211" i="35"/>
  <c r="I211" i="35"/>
  <c r="J211" i="35"/>
  <c r="K211" i="35"/>
  <c r="L211" i="35"/>
  <c r="M211" i="35"/>
  <c r="N211" i="35"/>
  <c r="O211" i="35"/>
  <c r="P211" i="35"/>
  <c r="Q211" i="35"/>
  <c r="R211" i="35"/>
  <c r="S211" i="35"/>
  <c r="T211" i="35"/>
  <c r="U211" i="35"/>
  <c r="V211" i="35"/>
  <c r="W211" i="35"/>
  <c r="X211" i="35"/>
  <c r="Y211" i="35"/>
  <c r="Z211" i="35"/>
  <c r="AA211" i="35"/>
  <c r="AB211" i="35"/>
  <c r="D282" i="35"/>
  <c r="E282" i="35"/>
  <c r="F282" i="35"/>
  <c r="G282" i="35"/>
  <c r="H282" i="35"/>
  <c r="I282" i="35"/>
  <c r="J282" i="35"/>
  <c r="K282" i="35"/>
  <c r="L282" i="35"/>
  <c r="M282" i="35"/>
  <c r="N282" i="35"/>
  <c r="O282" i="35"/>
  <c r="P282" i="35"/>
  <c r="Q282" i="35"/>
  <c r="R282" i="35"/>
  <c r="S282" i="35"/>
  <c r="T282" i="35"/>
  <c r="U282" i="35"/>
  <c r="V282" i="35"/>
  <c r="W282" i="35"/>
  <c r="X282" i="35"/>
  <c r="Y282" i="35"/>
  <c r="Z282" i="35"/>
  <c r="AA282" i="35"/>
  <c r="AB282" i="35"/>
  <c r="D281" i="35"/>
  <c r="E281" i="35"/>
  <c r="F281" i="35"/>
  <c r="G281" i="35"/>
  <c r="H281" i="35"/>
  <c r="I281" i="35"/>
  <c r="J281" i="35"/>
  <c r="K281" i="35"/>
  <c r="L281" i="35"/>
  <c r="M281" i="35"/>
  <c r="N281" i="35"/>
  <c r="O281" i="35"/>
  <c r="P281" i="35"/>
  <c r="Q281" i="35"/>
  <c r="R281" i="35"/>
  <c r="S281" i="35"/>
  <c r="T281" i="35"/>
  <c r="U281" i="35"/>
  <c r="V281" i="35"/>
  <c r="W281" i="35"/>
  <c r="X281" i="35"/>
  <c r="Y281" i="35"/>
  <c r="Z281" i="35"/>
  <c r="AA281" i="35"/>
  <c r="AB281" i="35"/>
  <c r="D280" i="35"/>
  <c r="E280" i="35"/>
  <c r="D207" i="35"/>
  <c r="E207" i="35"/>
  <c r="F207" i="35"/>
  <c r="D284" i="35"/>
  <c r="E284" i="35"/>
  <c r="F284" i="35"/>
  <c r="G284" i="35"/>
  <c r="H284" i="35"/>
  <c r="I284" i="35"/>
  <c r="J284" i="35"/>
  <c r="K284" i="35"/>
  <c r="L284" i="35"/>
  <c r="M284" i="35"/>
  <c r="N284" i="35"/>
  <c r="O284" i="35"/>
  <c r="P284" i="35"/>
  <c r="Q284" i="35"/>
  <c r="R284" i="35"/>
  <c r="S284" i="35"/>
  <c r="T284" i="35"/>
  <c r="U284" i="35"/>
  <c r="V284" i="35"/>
  <c r="W284" i="35"/>
  <c r="X284" i="35"/>
  <c r="Y284" i="35"/>
  <c r="Z284" i="35"/>
  <c r="AA284" i="35"/>
  <c r="AB284" i="35"/>
  <c r="D210" i="35"/>
  <c r="E210" i="35"/>
  <c r="F210" i="35"/>
  <c r="G210" i="35"/>
  <c r="H210" i="35"/>
  <c r="I210" i="35"/>
  <c r="J210" i="35"/>
  <c r="K210" i="35"/>
  <c r="L210" i="35"/>
  <c r="M210" i="35"/>
  <c r="N210" i="35"/>
  <c r="O210" i="35"/>
  <c r="P210" i="35"/>
  <c r="Q210" i="35"/>
  <c r="R210" i="35"/>
  <c r="S210" i="35"/>
  <c r="T210" i="35"/>
  <c r="U210" i="35"/>
  <c r="V210" i="35"/>
  <c r="W210" i="35"/>
  <c r="X210" i="35"/>
  <c r="Y210" i="35"/>
  <c r="Z210" i="35"/>
  <c r="AA210" i="35"/>
  <c r="AB210" i="35"/>
  <c r="D208" i="35"/>
  <c r="E208" i="35"/>
  <c r="F208" i="35"/>
  <c r="G208" i="35"/>
  <c r="H208" i="35"/>
  <c r="I208" i="35"/>
  <c r="J208" i="35"/>
  <c r="K208" i="35"/>
  <c r="L208" i="35"/>
  <c r="M208" i="35"/>
  <c r="N208" i="35"/>
  <c r="O208" i="35"/>
  <c r="P208" i="35"/>
  <c r="Q208" i="35"/>
  <c r="R208" i="35"/>
  <c r="S208" i="35"/>
  <c r="T208" i="35"/>
  <c r="U208" i="35"/>
  <c r="V208" i="35"/>
  <c r="W208" i="35"/>
  <c r="X208" i="35"/>
  <c r="Y208" i="35"/>
  <c r="Z208" i="35"/>
  <c r="AA208" i="35"/>
  <c r="AB208" i="35"/>
  <c r="L422" i="35"/>
  <c r="L421" i="35"/>
  <c r="F280" i="35"/>
  <c r="G207" i="35"/>
  <c r="L381" i="35"/>
  <c r="C307" i="35"/>
  <c r="P416" i="35"/>
  <c r="C331" i="35"/>
  <c r="C334" i="35"/>
  <c r="C310" i="35"/>
  <c r="L384" i="35"/>
  <c r="P419" i="35"/>
  <c r="C330" i="35"/>
  <c r="L380" i="35"/>
  <c r="C306" i="35"/>
  <c r="P415" i="35"/>
  <c r="P418" i="35"/>
  <c r="C309" i="35"/>
  <c r="C333" i="35"/>
  <c r="L383" i="35"/>
  <c r="P417" i="35"/>
  <c r="L382" i="35"/>
  <c r="C308" i="35"/>
  <c r="C332" i="35"/>
  <c r="B133" i="35"/>
  <c r="C305" i="35"/>
  <c r="L379" i="35"/>
  <c r="C329" i="35"/>
  <c r="P414" i="35"/>
  <c r="D310" i="35"/>
  <c r="D305" i="35"/>
  <c r="D136" i="35"/>
  <c r="D354" i="35"/>
  <c r="D138" i="35"/>
  <c r="D134" i="35"/>
  <c r="E134" i="35"/>
  <c r="F134" i="35"/>
  <c r="D135" i="35"/>
  <c r="D353" i="35"/>
  <c r="D137" i="35"/>
  <c r="D307" i="35"/>
  <c r="D309" i="35"/>
  <c r="D306" i="35"/>
  <c r="G280" i="35"/>
  <c r="H207" i="35"/>
  <c r="D308" i="35"/>
  <c r="B351" i="35"/>
  <c r="E135" i="35"/>
  <c r="E353" i="35"/>
  <c r="F352" i="35"/>
  <c r="G134" i="35"/>
  <c r="H280" i="35"/>
  <c r="E137" i="35"/>
  <c r="D355" i="35"/>
  <c r="D352" i="35"/>
  <c r="I207" i="35"/>
  <c r="E136" i="35"/>
  <c r="E352" i="35"/>
  <c r="E138" i="35"/>
  <c r="D356" i="35"/>
  <c r="F135" i="35"/>
  <c r="F353" i="35"/>
  <c r="E356" i="35"/>
  <c r="F138" i="35"/>
  <c r="J207" i="35"/>
  <c r="E355" i="35"/>
  <c r="F137" i="35"/>
  <c r="I280" i="35"/>
  <c r="G352" i="35"/>
  <c r="H134" i="35"/>
  <c r="E354" i="35"/>
  <c r="F136" i="35"/>
  <c r="G135" i="35"/>
  <c r="G353" i="35"/>
  <c r="F356" i="35"/>
  <c r="G138" i="35"/>
  <c r="J280" i="35"/>
  <c r="F355" i="35"/>
  <c r="G137" i="35"/>
  <c r="F354" i="35"/>
  <c r="G136" i="35"/>
  <c r="K207" i="35"/>
  <c r="H352" i="35"/>
  <c r="I134" i="35"/>
  <c r="H135" i="35"/>
  <c r="I135" i="35"/>
  <c r="G354" i="35"/>
  <c r="H136" i="35"/>
  <c r="G356" i="35"/>
  <c r="H138" i="35"/>
  <c r="I352" i="35"/>
  <c r="J134" i="35"/>
  <c r="L207" i="35"/>
  <c r="G355" i="35"/>
  <c r="H137" i="35"/>
  <c r="K280" i="35"/>
  <c r="H353" i="35"/>
  <c r="L280" i="35"/>
  <c r="M207" i="35"/>
  <c r="I353" i="35"/>
  <c r="J135" i="35"/>
  <c r="H356" i="35"/>
  <c r="I138" i="35"/>
  <c r="H354" i="35"/>
  <c r="I136" i="35"/>
  <c r="H355" i="35"/>
  <c r="I137" i="35"/>
  <c r="J352" i="35"/>
  <c r="K134" i="35"/>
  <c r="I355" i="35"/>
  <c r="J137" i="35"/>
  <c r="M280" i="35"/>
  <c r="K352" i="35"/>
  <c r="L134" i="35"/>
  <c r="I356" i="35"/>
  <c r="J138" i="35"/>
  <c r="N207" i="35"/>
  <c r="J353" i="35"/>
  <c r="K135" i="35"/>
  <c r="I354" i="35"/>
  <c r="J136" i="35"/>
  <c r="L352" i="35"/>
  <c r="M134" i="35"/>
  <c r="J355" i="35"/>
  <c r="K137" i="35"/>
  <c r="O207" i="35"/>
  <c r="J356" i="35"/>
  <c r="K138" i="35"/>
  <c r="J354" i="35"/>
  <c r="K136" i="35"/>
  <c r="K353" i="35"/>
  <c r="L135" i="35"/>
  <c r="N280" i="35"/>
  <c r="L353" i="35"/>
  <c r="M135" i="35"/>
  <c r="K356" i="35"/>
  <c r="L138" i="35"/>
  <c r="K355" i="35"/>
  <c r="L137" i="35"/>
  <c r="O280" i="35"/>
  <c r="M352" i="35"/>
  <c r="N134" i="35"/>
  <c r="K354" i="35"/>
  <c r="L136" i="35"/>
  <c r="P207" i="35"/>
  <c r="N352" i="35"/>
  <c r="O134" i="35"/>
  <c r="L356" i="35"/>
  <c r="M138" i="35"/>
  <c r="Q207" i="35"/>
  <c r="L355" i="35"/>
  <c r="M137" i="35"/>
  <c r="M353" i="35"/>
  <c r="N135" i="35"/>
  <c r="L354" i="35"/>
  <c r="M136" i="35"/>
  <c r="P280" i="35"/>
  <c r="R207" i="35"/>
  <c r="O352" i="35"/>
  <c r="P134" i="35"/>
  <c r="Q280" i="35"/>
  <c r="M354" i="35"/>
  <c r="N136" i="35"/>
  <c r="M356" i="35"/>
  <c r="N138" i="35"/>
  <c r="N353" i="35"/>
  <c r="O135" i="35"/>
  <c r="M355" i="35"/>
  <c r="N137" i="35"/>
  <c r="R280" i="35"/>
  <c r="S207" i="35"/>
  <c r="N356" i="35"/>
  <c r="O138" i="35"/>
  <c r="P352" i="35"/>
  <c r="Q134" i="35"/>
  <c r="N355" i="35"/>
  <c r="O137" i="35"/>
  <c r="O353" i="35"/>
  <c r="P135" i="35"/>
  <c r="N354" i="35"/>
  <c r="O136" i="35"/>
  <c r="O356" i="35"/>
  <c r="P138" i="35"/>
  <c r="S280" i="35"/>
  <c r="O355" i="35"/>
  <c r="P137" i="35"/>
  <c r="Q352" i="35"/>
  <c r="R134" i="35"/>
  <c r="O354" i="35"/>
  <c r="P136" i="35"/>
  <c r="P353" i="35"/>
  <c r="Q135" i="35"/>
  <c r="T207" i="35"/>
  <c r="P355" i="35"/>
  <c r="Q137" i="35"/>
  <c r="P356" i="35"/>
  <c r="Q138" i="35"/>
  <c r="U207" i="35"/>
  <c r="R352" i="35"/>
  <c r="S134" i="35"/>
  <c r="P354" i="35"/>
  <c r="Q136" i="35"/>
  <c r="Q353" i="35"/>
  <c r="R135" i="35"/>
  <c r="T280" i="35"/>
  <c r="U280" i="35"/>
  <c r="Q356" i="35"/>
  <c r="R138" i="35"/>
  <c r="Q354" i="35"/>
  <c r="R136" i="35"/>
  <c r="V207" i="35"/>
  <c r="Q355" i="35"/>
  <c r="R137" i="35"/>
  <c r="R353" i="35"/>
  <c r="S135" i="35"/>
  <c r="S352" i="35"/>
  <c r="T134" i="35"/>
  <c r="R355" i="35"/>
  <c r="S137" i="35"/>
  <c r="V280" i="35"/>
  <c r="T352" i="35"/>
  <c r="U134" i="35"/>
  <c r="R354" i="35"/>
  <c r="S136" i="35"/>
  <c r="S353" i="35"/>
  <c r="T135" i="35"/>
  <c r="W207" i="35"/>
  <c r="R356" i="35"/>
  <c r="S138" i="35"/>
  <c r="U352" i="35"/>
  <c r="V134" i="35"/>
  <c r="S355" i="35"/>
  <c r="T137" i="35"/>
  <c r="T353" i="35"/>
  <c r="U135" i="35"/>
  <c r="S354" i="35"/>
  <c r="T136" i="35"/>
  <c r="S356" i="35"/>
  <c r="T138" i="35"/>
  <c r="X207" i="35"/>
  <c r="W280" i="35"/>
  <c r="X280" i="35"/>
  <c r="U353" i="35"/>
  <c r="V135" i="35"/>
  <c r="V352" i="35"/>
  <c r="W134" i="35"/>
  <c r="Y207" i="35"/>
  <c r="T356" i="35"/>
  <c r="U138" i="35"/>
  <c r="T354" i="35"/>
  <c r="U136" i="35"/>
  <c r="T355" i="35"/>
  <c r="U137" i="35"/>
  <c r="U355" i="35"/>
  <c r="V137" i="35"/>
  <c r="V353" i="35"/>
  <c r="W135" i="35"/>
  <c r="W352" i="35"/>
  <c r="X134" i="35"/>
  <c r="U354" i="35"/>
  <c r="V136" i="35"/>
  <c r="Y280" i="35"/>
  <c r="U356" i="35"/>
  <c r="V138" i="35"/>
  <c r="Z207" i="35"/>
  <c r="AA207" i="35"/>
  <c r="Z280" i="35"/>
  <c r="X352" i="35"/>
  <c r="Y134" i="35"/>
  <c r="W353" i="35"/>
  <c r="X135" i="35"/>
  <c r="V355" i="35"/>
  <c r="W137" i="35"/>
  <c r="V356" i="35"/>
  <c r="W138" i="35"/>
  <c r="V354" i="35"/>
  <c r="W136" i="35"/>
  <c r="W354" i="35"/>
  <c r="X136" i="35"/>
  <c r="W355" i="35"/>
  <c r="X137" i="35"/>
  <c r="Y352" i="35"/>
  <c r="Z134" i="35"/>
  <c r="AB207" i="35"/>
  <c r="AA280" i="35"/>
  <c r="W356" i="35"/>
  <c r="X138" i="35"/>
  <c r="X353" i="35"/>
  <c r="Y135" i="35"/>
  <c r="Y353" i="35"/>
  <c r="Z135" i="35"/>
  <c r="X355" i="35"/>
  <c r="Y137" i="35"/>
  <c r="Z352" i="35"/>
  <c r="AA134" i="35"/>
  <c r="X356" i="35"/>
  <c r="Y138" i="35"/>
  <c r="X354" i="35"/>
  <c r="Y136" i="35"/>
  <c r="AB280" i="35"/>
  <c r="Y355" i="35"/>
  <c r="Z137" i="35"/>
  <c r="Y354" i="35"/>
  <c r="Z136" i="35"/>
  <c r="AA352" i="35"/>
  <c r="AB134" i="35"/>
  <c r="Z353" i="35"/>
  <c r="AA135" i="35"/>
  <c r="Y356" i="35"/>
  <c r="Z138" i="35"/>
  <c r="Z354" i="35"/>
  <c r="AA136" i="35"/>
  <c r="AB352" i="35"/>
  <c r="Z355" i="35"/>
  <c r="AA137" i="35"/>
  <c r="Z356" i="35"/>
  <c r="AA138" i="35"/>
  <c r="AA353" i="35"/>
  <c r="AB135" i="35"/>
  <c r="AB353" i="35"/>
  <c r="AA355" i="35"/>
  <c r="AB137" i="35"/>
  <c r="AB355" i="35"/>
  <c r="AA354" i="35"/>
  <c r="AB136" i="35"/>
  <c r="AB354" i="35"/>
  <c r="AA356" i="35"/>
  <c r="AB138" i="35"/>
  <c r="AB356" i="35"/>
</calcChain>
</file>

<file path=xl/sharedStrings.xml><?xml version="1.0" encoding="utf-8"?>
<sst xmlns="http://schemas.openxmlformats.org/spreadsheetml/2006/main" count="5244" uniqueCount="241">
  <si>
    <t>Calculation cell</t>
  </si>
  <si>
    <t>Input Cell</t>
  </si>
  <si>
    <t>Parameter Cell</t>
  </si>
  <si>
    <t>Output Cell</t>
  </si>
  <si>
    <t>Table Row Name</t>
  </si>
  <si>
    <t>General parameters</t>
  </si>
  <si>
    <t>Parameter</t>
  </si>
  <si>
    <t>Unit</t>
  </si>
  <si>
    <t>Value</t>
  </si>
  <si>
    <t>First year of analysis</t>
  </si>
  <si>
    <t>Year</t>
  </si>
  <si>
    <t>Analysis period</t>
  </si>
  <si>
    <t>Years</t>
  </si>
  <si>
    <t>Option name</t>
  </si>
  <si>
    <t>Number</t>
  </si>
  <si>
    <t>Base case</t>
  </si>
  <si>
    <t>Short description</t>
  </si>
  <si>
    <t>Capital cost</t>
  </si>
  <si>
    <t>Start year</t>
  </si>
  <si>
    <t>End year</t>
  </si>
  <si>
    <t>Asset life</t>
  </si>
  <si>
    <t>Amount</t>
  </si>
  <si>
    <t>Units</t>
  </si>
  <si>
    <t>Option descriptions</t>
  </si>
  <si>
    <t>Cost inputs</t>
  </si>
  <si>
    <t>Benefit inputs</t>
  </si>
  <si>
    <t>General parameter and option inputs</t>
  </si>
  <si>
    <t xml:space="preserve">Fuel consumption from generation dispatch </t>
  </si>
  <si>
    <t>[NER, rule 5.16.1(c)(4)(i)]</t>
  </si>
  <si>
    <t xml:space="preserve">Voluntary load curtailment </t>
  </si>
  <si>
    <t>[NER, rule 5.16.1(c)(4)(ii)]</t>
  </si>
  <si>
    <t>[NER, rule 5.16.1(c)(4)(iii)]</t>
  </si>
  <si>
    <t>[NER, rule 5.16.1(c)(4)(iv)]</t>
  </si>
  <si>
    <t>Note</t>
  </si>
  <si>
    <t>Inputs and parameters for RIT-T assessment</t>
  </si>
  <si>
    <t>$</t>
  </si>
  <si>
    <t>Net present value for each option</t>
  </si>
  <si>
    <t>PV</t>
  </si>
  <si>
    <t>NPV</t>
  </si>
  <si>
    <t>Low</t>
  </si>
  <si>
    <t>High</t>
  </si>
  <si>
    <t>Active</t>
  </si>
  <si>
    <t>Cost</t>
  </si>
  <si>
    <t>Cost sensitivities</t>
  </si>
  <si>
    <t>Discount rate sensitivities</t>
  </si>
  <si>
    <t>Scenario</t>
  </si>
  <si>
    <t>Sensitivity inputs</t>
  </si>
  <si>
    <t>Terminal value</t>
  </si>
  <si>
    <t>Calculating costs, benefits and NPV for each option</t>
  </si>
  <si>
    <t>General</t>
  </si>
  <si>
    <t>Incremental cost calculation</t>
  </si>
  <si>
    <t>Incremental benefit calculation</t>
  </si>
  <si>
    <t>Incremental net present value calculation</t>
  </si>
  <si>
    <t>Option</t>
  </si>
  <si>
    <t>Discount rate sensitivity</t>
  </si>
  <si>
    <t>Capex component</t>
  </si>
  <si>
    <t>[NER, rule 5.16.1(c)(4)(v)]</t>
  </si>
  <si>
    <t>Percent</t>
  </si>
  <si>
    <t>Yes</t>
  </si>
  <si>
    <t>Included in assessment?</t>
  </si>
  <si>
    <t>Difference in timing of unrelated expenditure</t>
  </si>
  <si>
    <t>Base year for dollar inputs</t>
  </si>
  <si>
    <t>Base</t>
  </si>
  <si>
    <t>Legend applied throughout the model template</t>
  </si>
  <si>
    <t>User Interface</t>
  </si>
  <si>
    <t>Selection</t>
  </si>
  <si>
    <t>Involuntary load shedding</t>
  </si>
  <si>
    <t>Commercial discount rate</t>
  </si>
  <si>
    <t>Interface for user selection and results</t>
  </si>
  <si>
    <t>Scenarios</t>
  </si>
  <si>
    <t>Scenario weighting</t>
  </si>
  <si>
    <t>Weighting</t>
  </si>
  <si>
    <t>Scenario selection</t>
  </si>
  <si>
    <t>Scenario 1</t>
  </si>
  <si>
    <t>Scenario 2</t>
  </si>
  <si>
    <t>Scenario 3</t>
  </si>
  <si>
    <t>Present value of benefits for each option</t>
  </si>
  <si>
    <t>Present value of costs for each option</t>
  </si>
  <si>
    <t>Costs for non RIT-T proponent parties</t>
  </si>
  <si>
    <t>Commission year</t>
  </si>
  <si>
    <t>Inputs</t>
  </si>
  <si>
    <t>`</t>
  </si>
  <si>
    <t>Summary of the estimated net market benefits</t>
  </si>
  <si>
    <t>Weighted</t>
  </si>
  <si>
    <t>Capex sensitivity</t>
  </si>
  <si>
    <t>Weighted scenario and summary</t>
  </si>
  <si>
    <t>Scenario summary</t>
  </si>
  <si>
    <t>Weighted scenario</t>
  </si>
  <si>
    <t>Charts</t>
  </si>
  <si>
    <t>Modelling year series</t>
  </si>
  <si>
    <t>Year series</t>
  </si>
  <si>
    <t>Financial year series II</t>
  </si>
  <si>
    <t>Financial year series I</t>
  </si>
  <si>
    <t>Central</t>
  </si>
  <si>
    <t>Year count</t>
  </si>
  <si>
    <t>Rank</t>
  </si>
  <si>
    <t>Option 1A</t>
  </si>
  <si>
    <t>Option 1B</t>
  </si>
  <si>
    <t>Option 2</t>
  </si>
  <si>
    <t>Option 3</t>
  </si>
  <si>
    <t>Option 4</t>
  </si>
  <si>
    <t>Capital cost summary</t>
  </si>
  <si>
    <t>Capex sensitivities</t>
  </si>
  <si>
    <t>FY 2020-21</t>
  </si>
  <si>
    <t>FY 2021-22</t>
  </si>
  <si>
    <t>FY 2022-23</t>
  </si>
  <si>
    <t>FY 2023-24</t>
  </si>
  <si>
    <t>FY 2024-25</t>
  </si>
  <si>
    <t>FY 2025-26</t>
  </si>
  <si>
    <t>FY 2026-27</t>
  </si>
  <si>
    <t>FY 2027-28</t>
  </si>
  <si>
    <t>FY 2028-29</t>
  </si>
  <si>
    <t>FY 2029-30</t>
  </si>
  <si>
    <t>FY 2030-31</t>
  </si>
  <si>
    <t>FY 2031-32</t>
  </si>
  <si>
    <t>FY 2032-33</t>
  </si>
  <si>
    <t>FY 2033-34</t>
  </si>
  <si>
    <t>FY 2034-35</t>
  </si>
  <si>
    <t>FY 2035-36</t>
  </si>
  <si>
    <t>FY 2036-37</t>
  </si>
  <si>
    <t>FY 2037-38</t>
  </si>
  <si>
    <t>FY 2038-39</t>
  </si>
  <si>
    <t>FY 2039-40</t>
  </si>
  <si>
    <t>FY 2040-41</t>
  </si>
  <si>
    <t>FY 2041-42</t>
  </si>
  <si>
    <t>FY 2042-43</t>
  </si>
  <si>
    <t>FY 2043-44</t>
  </si>
  <si>
    <t>FY 2044-45</t>
  </si>
  <si>
    <t>Network capital cost</t>
  </si>
  <si>
    <t>1A</t>
  </si>
  <si>
    <t>1B</t>
  </si>
  <si>
    <t>1C</t>
  </si>
  <si>
    <t>1D</t>
  </si>
  <si>
    <t>5G</t>
  </si>
  <si>
    <t>5F</t>
  </si>
  <si>
    <t>5E</t>
  </si>
  <si>
    <t>5C</t>
  </si>
  <si>
    <t>5B</t>
  </si>
  <si>
    <t>5A</t>
  </si>
  <si>
    <t>1E</t>
  </si>
  <si>
    <t>1F</t>
  </si>
  <si>
    <t>2B</t>
  </si>
  <si>
    <t>2C</t>
  </si>
  <si>
    <t>% of leading option</t>
  </si>
  <si>
    <t>Weighted NPV ($m)</t>
  </si>
  <si>
    <t>ACTIVE</t>
  </si>
  <si>
    <t>Updated results figure and table</t>
  </si>
  <si>
    <t>Updated results figure and table with SycCons</t>
  </si>
  <si>
    <t>Updated results figure and table with AER approach for Option 2 (without SycCons)</t>
  </si>
  <si>
    <t>PADR results</t>
  </si>
  <si>
    <t>Capex estimate</t>
  </si>
  <si>
    <t>Step</t>
  </si>
  <si>
    <t>Slow</t>
  </si>
  <si>
    <t>FY 2045-46</t>
  </si>
  <si>
    <t>Mid</t>
  </si>
  <si>
    <t>Weighted net benefits using the low end of the cost ranges</t>
  </si>
  <si>
    <t>Weighted net benefits using the high end of the cost ranges</t>
  </si>
  <si>
    <t>Weighted net benefits using the mid-point of the cost ranges</t>
  </si>
  <si>
    <t>Net benefits under the central scenario</t>
  </si>
  <si>
    <t>Low costs</t>
  </si>
  <si>
    <t>High costs</t>
  </si>
  <si>
    <t>Net benefits under the slow-change scenario</t>
  </si>
  <si>
    <t>Net benefits under the step-change scenario</t>
  </si>
  <si>
    <t>Benefits (from EY)</t>
  </si>
  <si>
    <t>Cost range (PSCR and Edify for the battery)</t>
  </si>
  <si>
    <t>NPV ($m)</t>
  </si>
  <si>
    <t>Slow Change</t>
  </si>
  <si>
    <t>Step Change</t>
  </si>
  <si>
    <t xml:space="preserve">Low </t>
  </si>
  <si>
    <t>2 + Battery</t>
  </si>
  <si>
    <t>Max</t>
  </si>
  <si>
    <t>Min</t>
  </si>
  <si>
    <t>1A + Battery</t>
  </si>
  <si>
    <t>SW NSW PADR economic assessment</t>
  </si>
  <si>
    <t>Option 5</t>
  </si>
  <si>
    <t>Business as usual</t>
  </si>
  <si>
    <t>New 330 kV transmission line between Darlington Point and the new Dinawan substation being constructed for Project EnergyConnect</t>
  </si>
  <si>
    <t>New 330 kV transmission line between Darlington Point and the Wagga Wagga substation</t>
  </si>
  <si>
    <t>Static synchronous compensator (STATCOM) solution at the Darlington Point substation</t>
  </si>
  <si>
    <t>Rebuild of the 330 kV transmission line between Darlington Point and the new Dinawan substation</t>
  </si>
  <si>
    <t>Central scenario</t>
  </si>
  <si>
    <t>Avoided unserved energy</t>
  </si>
  <si>
    <t>Avoided fuel costs</t>
  </si>
  <si>
    <t>Avoided generation/storage costs (excl. fuel costs)</t>
  </si>
  <si>
    <t>Avoided voluntary load curtailment</t>
  </si>
  <si>
    <t>Avoided transmission capex</t>
  </si>
  <si>
    <t>Discount factor</t>
  </si>
  <si>
    <t>Lines</t>
  </si>
  <si>
    <t>Substations</t>
  </si>
  <si>
    <t>Static synchronous compensator</t>
  </si>
  <si>
    <t>NNO expenses paid to NNO proponent by TransGrid</t>
  </si>
  <si>
    <t>NNO revenue received by NNO proponent</t>
  </si>
  <si>
    <t>Transmission capex</t>
  </si>
  <si>
    <t>Transmission opex</t>
  </si>
  <si>
    <t>Avoided generation/storage costs</t>
  </si>
  <si>
    <t>% from 1st</t>
  </si>
  <si>
    <t>High capex</t>
  </si>
  <si>
    <t>Low capex</t>
  </si>
  <si>
    <t>High discount rate</t>
  </si>
  <si>
    <t>Low discount rate</t>
  </si>
  <si>
    <t>Sensitivities</t>
  </si>
  <si>
    <t>Summary</t>
  </si>
  <si>
    <t>Fast</t>
  </si>
  <si>
    <t>TransGrid operating costs</t>
  </si>
  <si>
    <t>NNO operating costs</t>
  </si>
  <si>
    <t>TransGrid/NNO</t>
  </si>
  <si>
    <t>Last year</t>
  </si>
  <si>
    <t>NNO reciepts</t>
  </si>
  <si>
    <t>NNO opex</t>
  </si>
  <si>
    <t>Operation costs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</si>
  <si>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</si>
  <si>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</si>
  <si>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</si>
  <si>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</si>
  <si>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</si>
  <si>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</si>
  <si>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</si>
  <si>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</si>
  <si>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</si>
  <si>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</si>
  <si>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</si>
  <si>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</si>
  <si>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</si>
  <si>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</si>
  <si>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</si>
  <si>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</si>
  <si>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</si>
  <si>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</si>
  <si>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</si>
  <si>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</si>
  <si>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</si>
  <si>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</si>
  <si>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</si>
  <si>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</si>
  <si>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</si>
  <si>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</si>
  <si>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/>
  </si>
  <si>
    <t>CBA Inputs</t>
  </si>
  <si>
    <t>First year in 2020-21 for ease in discounting to 2019-20. No inputs in 2020-21.</t>
  </si>
  <si>
    <t>Inputs start in 2021-22 and for 25 years included. 26 year period for ease of discounting to 2019-20.</t>
  </si>
  <si>
    <t xml:space="preserve">Redacted to preserve confidentiality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</si>
</sst>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9" formatCode="#,##0.000"/>
    <numFmt numFmtId="170" formatCode="#,##0.0000"/>
    <numFmt numFmtId="171" formatCode="0.000"/>
    <numFmt numFmtId="172" formatCode="#,##0.0"/>
  </numFmts>
  <fonts count="38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theme="1" tint="-0.499984740745262"/>
        <bgColor indexed="64"/>
      </patternFill>
    </fill>
    <fill>
      <patternFill patternType="solid">
        <fgColor theme="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4">
    <xf numFmtId="0" fontId="0" fillId="0" borderId="0"/>
    <xf numFmtId="0" fontId="23" fillId="34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4" fillId="36" borderId="0"/>
    <xf numFmtId="0" fontId="24" fillId="35" borderId="0"/>
    <xf numFmtId="0" fontId="22" fillId="33" borderId="0"/>
    <xf numFmtId="2" fontId="22" fillId="37" borderId="0"/>
    <xf numFmtId="2" fontId="22" fillId="38" borderId="0"/>
    <xf numFmtId="1" fontId="22" fillId="39" borderId="0"/>
    <xf numFmtId="2" fontId="22" fillId="40" borderId="0"/>
    <xf numFmtId="9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/>
    <xf numFmtId="0" fontId="35" fillId="0" borderId="0"/>
    <xf numFmtId="0" fontId="2" fillId="0" borderId="0"/>
    <xf numFmtId="0" fontId="35" fillId="0" borderId="0"/>
  </cellStyleXfs>
  <cellXfs count="270">
    <xf numFmtId="0" fontId="0" fillId="0" borderId="0" xfId="0"/>
    <xf numFmtId="0" fontId="22" fillId="33" borderId="0" xfId="50"/>
    <xf numFmtId="0" fontId="4" fillId="0" borderId="0" xfId="0" applyFont="1" applyBorder="1"/>
    <xf numFmtId="0" fontId="0" fillId="0" borderId="0" xfId="0" applyBorder="1"/>
    <xf numFmtId="0" fontId="24" fillId="36" borderId="0" xfId="48"/>
    <xf numFmtId="0" fontId="23" fillId="34" borderId="0" xfId="1"/>
    <xf numFmtId="0" fontId="24" fillId="35" borderId="0" xfId="49"/>
    <xf numFmtId="0" fontId="24" fillId="35" borderId="0" xfId="49" applyAlignment="1">
      <alignment horizontal="center"/>
    </xf>
    <xf numFmtId="0" fontId="22" fillId="33" borderId="0" xfId="50" applyAlignment="1">
      <alignment horizontal="center"/>
    </xf>
    <xf numFmtId="0" fontId="24" fillId="35" borderId="0" xfId="49" applyAlignment="1">
      <alignment horizontal="left"/>
    </xf>
    <xf numFmtId="0" fontId="24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24" fillId="35" borderId="0" xfId="49" applyAlignment="1">
      <alignment horizontal="right"/>
    </xf>
    <xf numFmtId="2" fontId="22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4" fillId="36" borderId="0" xfId="48" applyAlignment="1">
      <alignment horizontal="right"/>
    </xf>
    <xf numFmtId="3" fontId="22" fillId="38" borderId="0" xfId="52" applyNumberFormat="1"/>
    <xf numFmtId="3" fontId="22" fillId="38" borderId="10" xfId="52" applyNumberFormat="1" applyBorder="1"/>
    <xf numFmtId="0" fontId="23" fillId="34" borderId="0" xfId="1" applyAlignment="1">
      <alignment horizontal="right"/>
    </xf>
    <xf numFmtId="10" fontId="22" fillId="38" borderId="0" xfId="52" applyNumberFormat="1" applyAlignment="1">
      <alignment horizontal="right"/>
    </xf>
    <xf numFmtId="3" fontId="22" fillId="40" borderId="0" xfId="54" applyNumberFormat="1" applyAlignment="1">
      <alignment horizontal="right"/>
    </xf>
    <xf numFmtId="3" fontId="22" fillId="40" borderId="10" xfId="54" applyNumberFormat="1" applyBorder="1"/>
    <xf numFmtId="0" fontId="22" fillId="33" borderId="0" xfId="50" applyNumberFormat="1" applyAlignment="1">
      <alignment horizontal="center"/>
    </xf>
    <xf numFmtId="0" fontId="22" fillId="33" borderId="0" xfId="50" applyNumberFormat="1" applyAlignment="1">
      <alignment horizontal="left"/>
    </xf>
    <xf numFmtId="0" fontId="22" fillId="33" borderId="0" xfId="50" applyAlignment="1">
      <alignment horizontal="left"/>
    </xf>
    <xf numFmtId="9" fontId="22" fillId="38" borderId="0" xfId="52" applyNumberFormat="1" applyAlignment="1">
      <alignment horizontal="right"/>
    </xf>
    <xf numFmtId="0" fontId="24" fillId="36" borderId="0" xfId="48" applyAlignment="1">
      <alignment horizontal="left"/>
    </xf>
    <xf numFmtId="0" fontId="0" fillId="0" borderId="0" xfId="0" applyAlignment="1">
      <alignment horizontal="left"/>
    </xf>
    <xf numFmtId="0" fontId="23" fillId="34" borderId="0" xfId="1" applyAlignment="1">
      <alignment horizontal="left"/>
    </xf>
    <xf numFmtId="0" fontId="25" fillId="0" borderId="0" xfId="0" applyFont="1"/>
    <xf numFmtId="0" fontId="28" fillId="0" borderId="0" xfId="0" applyFont="1"/>
    <xf numFmtId="0" fontId="29" fillId="0" borderId="0" xfId="0" applyFont="1"/>
    <xf numFmtId="0" fontId="24" fillId="36" borderId="11" xfId="48" applyBorder="1" applyAlignment="1">
      <alignment vertical="top"/>
    </xf>
    <xf numFmtId="0" fontId="24" fillId="36" borderId="12" xfId="48" applyBorder="1" applyAlignment="1">
      <alignment vertical="top"/>
    </xf>
    <xf numFmtId="0" fontId="24" fillId="36" borderId="13" xfId="48" applyBorder="1" applyAlignment="1">
      <alignment vertical="top"/>
    </xf>
    <xf numFmtId="0" fontId="22" fillId="33" borderId="14" xfId="50" applyBorder="1"/>
    <xf numFmtId="0" fontId="22" fillId="33" borderId="0" xfId="50" applyBorder="1"/>
    <xf numFmtId="0" fontId="0" fillId="0" borderId="15" xfId="0" applyBorder="1"/>
    <xf numFmtId="2" fontId="22" fillId="37" borderId="14" xfId="51" applyBorder="1"/>
    <xf numFmtId="2" fontId="22" fillId="37" borderId="0" xfId="51" applyBorder="1"/>
    <xf numFmtId="2" fontId="22" fillId="38" borderId="14" xfId="52" applyBorder="1"/>
    <xf numFmtId="2" fontId="22" fillId="38" borderId="0" xfId="52" applyBorder="1"/>
    <xf numFmtId="1" fontId="22" fillId="39" borderId="14" xfId="53" applyBorder="1"/>
    <xf numFmtId="1" fontId="22" fillId="39" borderId="0" xfId="53" applyBorder="1"/>
    <xf numFmtId="2" fontId="22" fillId="40" borderId="16" xfId="54" applyBorder="1"/>
    <xf numFmtId="2" fontId="22" fillId="40" borderId="17" xfId="54" applyBorder="1"/>
    <xf numFmtId="0" fontId="0" fillId="0" borderId="18" xfId="0" applyBorder="1"/>
    <xf numFmtId="0" fontId="0" fillId="0" borderId="0" xfId="0" applyProtection="1"/>
    <xf numFmtId="0" fontId="0" fillId="0" borderId="0" xfId="0" applyFill="1" applyProtection="1"/>
    <xf numFmtId="1" fontId="22" fillId="39" borderId="0" xfId="53" applyAlignment="1" applyProtection="1">
      <alignment horizontal="center"/>
      <protection locked="0"/>
    </xf>
    <xf numFmtId="2" fontId="22" fillId="37" borderId="0" xfId="51" applyProtection="1">
      <protection locked="0"/>
    </xf>
    <xf numFmtId="2" fontId="0" fillId="37" borderId="0" xfId="51" applyFont="1" applyAlignment="1" applyProtection="1">
      <alignment horizontal="left" vertical="top"/>
      <protection locked="0"/>
    </xf>
    <xf numFmtId="2" fontId="22" fillId="37" borderId="0" xfId="51" applyAlignment="1" applyProtection="1">
      <alignment horizontal="left" vertical="top"/>
      <protection locked="0"/>
    </xf>
    <xf numFmtId="1" fontId="22" fillId="39" borderId="0" xfId="53" applyAlignment="1" applyProtection="1">
      <alignment horizontal="center" vertical="top"/>
      <protection locked="0"/>
    </xf>
    <xf numFmtId="10" fontId="22" fillId="39" borderId="0" xfId="53" applyNumberFormat="1" applyAlignment="1" applyProtection="1">
      <alignment horizontal="center"/>
      <protection locked="0"/>
    </xf>
    <xf numFmtId="2" fontId="0" fillId="37" borderId="0" xfId="51" applyFont="1" applyProtection="1">
      <protection locked="0"/>
    </xf>
    <xf numFmtId="0" fontId="23" fillId="34" borderId="0" xfId="1" applyProtection="1"/>
    <xf numFmtId="0" fontId="24" fillId="36" borderId="0" xfId="48" applyProtection="1"/>
    <xf numFmtId="0" fontId="24" fillId="35" borderId="0" xfId="49" applyProtection="1"/>
    <xf numFmtId="0" fontId="0" fillId="33" borderId="0" xfId="50" applyFont="1" applyProtection="1"/>
    <xf numFmtId="0" fontId="22" fillId="33" borderId="0" xfId="50" applyAlignment="1" applyProtection="1">
      <alignment horizontal="center" vertical="top"/>
    </xf>
    <xf numFmtId="0" fontId="22" fillId="33" borderId="0" xfId="50" applyProtection="1"/>
    <xf numFmtId="0" fontId="24" fillId="35" borderId="0" xfId="49" applyAlignment="1" applyProtection="1">
      <alignment horizontal="center"/>
    </xf>
    <xf numFmtId="0" fontId="22" fillId="33" borderId="0" xfId="50" applyAlignment="1" applyProtection="1">
      <alignment horizontal="center"/>
    </xf>
    <xf numFmtId="0" fontId="22" fillId="0" borderId="0" xfId="5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24" fillId="36" borderId="0" xfId="48" applyAlignment="1" applyProtection="1">
      <alignment horizontal="center"/>
    </xf>
    <xf numFmtId="0" fontId="0" fillId="33" borderId="0" xfId="50" applyFont="1" applyAlignment="1" applyProtection="1">
      <alignment horizontal="center"/>
    </xf>
    <xf numFmtId="0" fontId="23" fillId="34" borderId="0" xfId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right"/>
    </xf>
    <xf numFmtId="0" fontId="23" fillId="34" borderId="0" xfId="1" applyAlignment="1" applyProtection="1">
      <alignment horizontal="center"/>
    </xf>
    <xf numFmtId="0" fontId="22" fillId="0" borderId="0" xfId="50" applyFill="1" applyProtection="1"/>
    <xf numFmtId="0" fontId="0" fillId="0" borderId="0" xfId="50" applyFont="1" applyFill="1" applyAlignment="1" applyProtection="1">
      <alignment horizontal="center"/>
    </xf>
    <xf numFmtId="3" fontId="22" fillId="0" borderId="0" xfId="51" applyNumberFormat="1" applyFill="1" applyProtection="1"/>
    <xf numFmtId="2" fontId="22" fillId="37" borderId="0" xfId="51"/>
    <xf numFmtId="0" fontId="24" fillId="35" borderId="0" xfId="49" applyAlignment="1" applyProtection="1">
      <alignment horizontal="left"/>
    </xf>
    <xf numFmtId="0" fontId="28" fillId="0" borderId="0" xfId="0" applyFont="1" applyAlignment="1">
      <alignment horizontal="right"/>
    </xf>
    <xf numFmtId="0" fontId="30" fillId="0" borderId="0" xfId="0" applyFont="1" applyProtection="1"/>
    <xf numFmtId="0" fontId="30" fillId="0" borderId="0" xfId="0" applyFont="1"/>
    <xf numFmtId="0" fontId="31" fillId="0" borderId="0" xfId="0" applyFont="1" applyBorder="1" applyProtection="1"/>
    <xf numFmtId="0" fontId="26" fillId="0" borderId="0" xfId="0" applyFont="1" applyBorder="1" applyProtection="1"/>
    <xf numFmtId="0" fontId="26" fillId="0" borderId="0" xfId="0" applyFont="1" applyFill="1" applyProtection="1"/>
    <xf numFmtId="0" fontId="26" fillId="0" borderId="0" xfId="0" applyFont="1" applyProtection="1"/>
    <xf numFmtId="0" fontId="24" fillId="35" borderId="0" xfId="49" applyAlignment="1" applyProtection="1">
      <alignment vertical="top"/>
    </xf>
    <xf numFmtId="0" fontId="24" fillId="35" borderId="0" xfId="49" applyAlignment="1" applyProtection="1">
      <alignment vertical="top" wrapText="1"/>
    </xf>
    <xf numFmtId="0" fontId="24" fillId="35" borderId="0" xfId="49" applyAlignment="1" applyProtection="1">
      <alignment horizontal="center" vertical="top" wrapText="1"/>
    </xf>
    <xf numFmtId="2" fontId="0" fillId="37" borderId="0" xfId="51" quotePrefix="1" applyFont="1" applyAlignment="1" applyProtection="1">
      <alignment vertical="top"/>
      <protection locked="0"/>
    </xf>
    <xf numFmtId="2" fontId="0" fillId="37" borderId="0" xfId="51" applyFont="1" applyAlignment="1" applyProtection="1">
      <alignment vertical="top"/>
      <protection locked="0"/>
    </xf>
    <xf numFmtId="1" fontId="22" fillId="39" borderId="0" xfId="53" applyAlignment="1">
      <alignment horizontal="center"/>
    </xf>
    <xf numFmtId="0" fontId="0" fillId="0" borderId="0" xfId="0" applyFill="1"/>
    <xf numFmtId="0" fontId="26" fillId="0" borderId="0" xfId="0" applyFont="1"/>
    <xf numFmtId="2" fontId="22" fillId="38" borderId="0" xfId="52" applyAlignment="1">
      <alignment horizontal="center"/>
    </xf>
    <xf numFmtId="0" fontId="22" fillId="0" borderId="0" xfId="50" applyFill="1"/>
    <xf numFmtId="1" fontId="22" fillId="0" borderId="0" xfId="53" applyFill="1" applyAlignment="1" applyProtection="1">
      <alignment horizontal="center"/>
      <protection locked="0"/>
    </xf>
    <xf numFmtId="0" fontId="24" fillId="35" borderId="0" xfId="49" applyAlignment="1" applyProtection="1">
      <alignment horizontal="left" vertical="top" wrapText="1"/>
    </xf>
    <xf numFmtId="3" fontId="0" fillId="0" borderId="0" xfId="0" applyNumberFormat="1" applyProtection="1"/>
    <xf numFmtId="0" fontId="24" fillId="35" borderId="0" xfId="49" applyAlignment="1" applyProtection="1">
      <alignment horizontal="right" vertical="top" wrapText="1"/>
    </xf>
    <xf numFmtId="0" fontId="32" fillId="0" borderId="0" xfId="0" applyFont="1"/>
    <xf numFmtId="0" fontId="32" fillId="0" borderId="0" xfId="0" applyFont="1" applyProtection="1"/>
    <xf numFmtId="0" fontId="31" fillId="0" borderId="0" xfId="0" applyFont="1" applyBorder="1"/>
    <xf numFmtId="0" fontId="26" fillId="0" borderId="0" xfId="0" applyFont="1" applyBorder="1"/>
    <xf numFmtId="0" fontId="26" fillId="0" borderId="0" xfId="0" applyFont="1" applyAlignment="1">
      <alignment vertical="top"/>
    </xf>
    <xf numFmtId="0" fontId="24" fillId="36" borderId="0" xfId="48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24" fillId="36" borderId="0" xfId="48" applyAlignment="1">
      <alignment horizontal="center" vertical="top" wrapText="1"/>
    </xf>
    <xf numFmtId="0" fontId="24" fillId="36" borderId="0" xfId="48" applyAlignment="1">
      <alignment vertical="top" wrapText="1"/>
    </xf>
    <xf numFmtId="0" fontId="24" fillId="36" borderId="0" xfId="48" applyAlignment="1" applyProtection="1">
      <alignment horizontal="right"/>
    </xf>
    <xf numFmtId="0" fontId="24" fillId="36" borderId="0" xfId="48" applyAlignment="1" applyProtection="1">
      <alignment horizontal="left"/>
    </xf>
    <xf numFmtId="0" fontId="24" fillId="36" borderId="0" xfId="48" applyAlignment="1" applyProtection="1"/>
    <xf numFmtId="0" fontId="24" fillId="0" borderId="0" xfId="48" applyFill="1" applyProtection="1"/>
    <xf numFmtId="0" fontId="24" fillId="0" borderId="0" xfId="48" applyFill="1" applyAlignment="1" applyProtection="1">
      <alignment horizontal="right"/>
    </xf>
    <xf numFmtId="0" fontId="24" fillId="0" borderId="0" xfId="48" applyFill="1" applyAlignment="1" applyProtection="1">
      <alignment horizontal="left"/>
    </xf>
    <xf numFmtId="0" fontId="30" fillId="0" borderId="0" xfId="0" applyFont="1" applyAlignment="1">
      <alignment vertical="top"/>
    </xf>
    <xf numFmtId="2" fontId="0" fillId="33" borderId="0" xfId="51" applyFont="1" applyFill="1" applyAlignment="1" applyProtection="1">
      <alignment horizontal="left"/>
      <protection locked="0"/>
    </xf>
    <xf numFmtId="2" fontId="22" fillId="33" borderId="0" xfId="50" applyNumberFormat="1"/>
    <xf numFmtId="0" fontId="33" fillId="0" borderId="0" xfId="0" applyFont="1"/>
    <xf numFmtId="3" fontId="33" fillId="0" borderId="0" xfId="0" applyNumberFormat="1" applyFont="1"/>
    <xf numFmtId="0" fontId="34" fillId="36" borderId="0" xfId="48" applyFont="1"/>
    <xf numFmtId="0" fontId="34" fillId="35" borderId="0" xfId="49" applyFont="1"/>
    <xf numFmtId="0" fontId="34" fillId="35" borderId="0" xfId="49" applyFont="1" applyAlignment="1">
      <alignment horizontal="right"/>
    </xf>
    <xf numFmtId="0" fontId="22" fillId="37" borderId="0" xfId="51" applyNumberFormat="1"/>
    <xf numFmtId="3" fontId="22" fillId="37" borderId="0" xfId="51" applyNumberFormat="1"/>
    <xf numFmtId="0" fontId="22" fillId="37" borderId="0" xfId="51" applyNumberFormat="1" applyAlignment="1">
      <alignment horizontal="center"/>
    </xf>
    <xf numFmtId="3" fontId="33" fillId="38" borderId="0" xfId="52" applyNumberFormat="1" applyFont="1" applyAlignment="1">
      <alignment horizontal="right"/>
    </xf>
    <xf numFmtId="3" fontId="0" fillId="0" borderId="0" xfId="0" applyNumberFormat="1"/>
    <xf numFmtId="0" fontId="34" fillId="0" borderId="0" xfId="49" applyFont="1" applyFill="1"/>
    <xf numFmtId="0" fontId="33" fillId="0" borderId="0" xfId="0" applyFont="1" applyFill="1"/>
    <xf numFmtId="0" fontId="34" fillId="0" borderId="0" xfId="48" applyFont="1" applyFill="1"/>
    <xf numFmtId="3" fontId="23" fillId="34" borderId="0" xfId="1" applyNumberFormat="1"/>
    <xf numFmtId="3" fontId="22" fillId="37" borderId="0" xfId="51" applyNumberFormat="1" applyBorder="1"/>
    <xf numFmtId="2" fontId="0" fillId="0" borderId="0" xfId="0" applyNumberFormat="1"/>
    <xf numFmtId="0" fontId="26" fillId="0" borderId="0" xfId="0" applyFont="1" applyAlignment="1" applyProtection="1">
      <alignment horizontal="left"/>
    </xf>
    <xf numFmtId="0" fontId="36" fillId="0" borderId="0" xfId="49" applyFont="1" applyFill="1" applyProtection="1"/>
    <xf numFmtId="0" fontId="36" fillId="0" borderId="0" xfId="48" applyFont="1" applyFill="1" applyProtection="1"/>
    <xf numFmtId="0" fontId="22" fillId="38" borderId="0" xfId="52" applyNumberFormat="1" applyAlignment="1">
      <alignment horizontal="center"/>
    </xf>
    <xf numFmtId="0" fontId="26" fillId="0" borderId="0" xfId="0" applyFont="1" applyFill="1" applyAlignment="1" applyProtection="1">
      <alignment horizontal="center"/>
    </xf>
    <xf numFmtId="0" fontId="24" fillId="36" borderId="0" xfId="48" applyFill="1" applyProtection="1"/>
    <xf numFmtId="0" fontId="0" fillId="36" borderId="0" xfId="0" applyFill="1" applyProtection="1"/>
    <xf numFmtId="0" fontId="0" fillId="36" borderId="0" xfId="0" applyFill="1" applyAlignment="1" applyProtection="1">
      <alignment horizontal="center"/>
    </xf>
    <xf numFmtId="0" fontId="0" fillId="36" borderId="0" xfId="0" applyFill="1" applyAlignment="1" applyProtection="1">
      <alignment horizontal="left"/>
    </xf>
    <xf numFmtId="0" fontId="22" fillId="38" borderId="0" xfId="52" applyNumberFormat="1" applyAlignment="1">
      <alignment horizontal="right"/>
    </xf>
    <xf numFmtId="0" fontId="24" fillId="35" borderId="0" xfId="49" applyAlignment="1" applyProtection="1">
      <alignment horizontal="right"/>
    </xf>
    <xf numFmtId="0" fontId="33" fillId="0" borderId="0" xfId="50" applyFont="1" applyFill="1" applyAlignment="1">
      <alignment horizontal="left"/>
    </xf>
    <xf numFmtId="0" fontId="34" fillId="0" borderId="0" xfId="49" applyFont="1" applyFill="1" applyAlignment="1">
      <alignment horizontal="left"/>
    </xf>
    <xf numFmtId="0" fontId="24" fillId="35" borderId="0" xfId="49" applyAlignment="1"/>
    <xf numFmtId="0" fontId="22" fillId="37" borderId="0" xfId="51" applyNumberFormat="1" applyBorder="1" applyAlignment="1">
      <alignment horizontal="right"/>
    </xf>
    <xf numFmtId="2" fontId="22" fillId="37" borderId="0" xfId="51" applyBorder="1" applyAlignment="1">
      <alignment horizontal="left"/>
    </xf>
    <xf numFmtId="4" fontId="0" fillId="0" borderId="0" xfId="0" applyNumberFormat="1"/>
    <xf numFmtId="3" fontId="27" fillId="0" borderId="0" xfId="0" applyNumberFormat="1" applyFont="1"/>
    <xf numFmtId="3" fontId="26" fillId="0" borderId="0" xfId="0" applyNumberFormat="1" applyFont="1" applyFill="1" applyProtection="1"/>
    <xf numFmtId="3" fontId="22" fillId="0" borderId="0" xfId="51" applyNumberFormat="1" applyFill="1"/>
    <xf numFmtId="0" fontId="0" fillId="0" borderId="0" xfId="0" applyFill="1" applyAlignment="1">
      <alignment horizontal="left"/>
    </xf>
    <xf numFmtId="0" fontId="23" fillId="0" borderId="0" xfId="1" applyFill="1" applyAlignment="1">
      <alignment horizontal="right"/>
    </xf>
    <xf numFmtId="0" fontId="24" fillId="0" borderId="0" xfId="48" applyFill="1" applyAlignment="1">
      <alignment horizontal="center" vertical="top" wrapText="1"/>
    </xf>
    <xf numFmtId="0" fontId="24" fillId="0" borderId="0" xfId="49" applyFill="1" applyAlignment="1">
      <alignment horizontal="center"/>
    </xf>
    <xf numFmtId="2" fontId="22" fillId="0" borderId="0" xfId="53" applyNumberFormat="1" applyFill="1" applyAlignment="1">
      <alignment horizontal="center"/>
    </xf>
    <xf numFmtId="2" fontId="0" fillId="37" borderId="0" xfId="51" applyFont="1" applyBorder="1" applyAlignment="1" applyProtection="1">
      <alignment horizontal="left" vertical="top"/>
      <protection locked="0"/>
    </xf>
    <xf numFmtId="2" fontId="0" fillId="37" borderId="0" xfId="51" quotePrefix="1" applyFont="1" applyAlignment="1" applyProtection="1">
      <alignment vertical="top" wrapText="1"/>
      <protection locked="0"/>
    </xf>
    <xf numFmtId="3" fontId="0" fillId="0" borderId="0" xfId="0" applyNumberFormat="1" applyAlignment="1">
      <alignment horizontal="right"/>
    </xf>
    <xf numFmtId="0" fontId="0" fillId="0" borderId="0" xfId="0"/>
    <xf numFmtId="0" fontId="23" fillId="34" borderId="0" xfId="1"/>
    <xf numFmtId="0" fontId="23" fillId="34" borderId="0" xfId="1" applyAlignment="1">
      <alignment horizontal="left"/>
    </xf>
    <xf numFmtId="0" fontId="22" fillId="33" borderId="0" xfId="50" applyAlignment="1">
      <alignment horizontal="left"/>
    </xf>
    <xf numFmtId="0" fontId="0" fillId="0" borderId="0" xfId="0" applyAlignment="1">
      <alignment horizontal="left"/>
    </xf>
    <xf numFmtId="0" fontId="24" fillId="36" borderId="0" xfId="48"/>
    <xf numFmtId="0" fontId="24" fillId="36" borderId="0" xfId="48" applyAlignment="1">
      <alignment horizontal="left"/>
    </xf>
    <xf numFmtId="0" fontId="24" fillId="35" borderId="0" xfId="49"/>
    <xf numFmtId="0" fontId="24" fillId="35" borderId="0" xfId="49" applyAlignment="1">
      <alignment horizontal="left"/>
    </xf>
    <xf numFmtId="0" fontId="24" fillId="35" borderId="0" xfId="49" applyAlignment="1">
      <alignment horizontal="center"/>
    </xf>
    <xf numFmtId="0" fontId="24" fillId="35" borderId="0" xfId="49" applyAlignment="1">
      <alignment horizontal="right"/>
    </xf>
    <xf numFmtId="0" fontId="22" fillId="33" borderId="0" xfId="50" applyAlignment="1">
      <alignment horizontal="center"/>
    </xf>
    <xf numFmtId="0" fontId="0" fillId="33" borderId="0" xfId="50" applyFont="1" applyAlignment="1">
      <alignment horizontal="center"/>
    </xf>
    <xf numFmtId="3" fontId="22" fillId="38" borderId="0" xfId="52" applyNumberFormat="1" applyBorder="1" applyAlignment="1">
      <alignment horizontal="right"/>
    </xf>
    <xf numFmtId="9" fontId="0" fillId="0" borderId="0" xfId="55" applyFont="1"/>
    <xf numFmtId="9" fontId="0" fillId="0" borderId="0" xfId="55" applyFont="1" applyAlignment="1">
      <alignment horizontal="right"/>
    </xf>
    <xf numFmtId="3" fontId="22" fillId="37" borderId="0" xfId="51" applyNumberFormat="1" applyFill="1" applyBorder="1" applyAlignment="1">
      <alignment horizontal="right"/>
    </xf>
    <xf numFmtId="3" fontId="22" fillId="37" borderId="0" xfId="51" applyNumberFormat="1" applyFill="1" applyBorder="1"/>
    <xf numFmtId="3" fontId="22" fillId="38" borderId="0" xfId="51" applyNumberFormat="1" applyFill="1" applyBorder="1" applyAlignment="1">
      <alignment horizontal="right"/>
    </xf>
    <xf numFmtId="2" fontId="22" fillId="0" borderId="0" xfId="51" applyFill="1" applyBorder="1" applyAlignment="1">
      <alignment horizontal="left"/>
    </xf>
    <xf numFmtId="3" fontId="22" fillId="0" borderId="0" xfId="51" applyNumberFormat="1" applyFill="1" applyBorder="1"/>
    <xf numFmtId="169" fontId="0" fillId="0" borderId="0" xfId="0" applyNumberFormat="1" applyProtection="1"/>
    <xf numFmtId="0" fontId="22" fillId="33" borderId="0" xfId="50" applyNumberFormat="1" applyFont="1" applyAlignment="1">
      <alignment horizontal="left"/>
    </xf>
    <xf numFmtId="3" fontId="26" fillId="0" borderId="0" xfId="48" applyNumberFormat="1" applyFont="1" applyFill="1" applyProtection="1"/>
    <xf numFmtId="169" fontId="0" fillId="0" borderId="0" xfId="0" applyNumberFormat="1"/>
    <xf numFmtId="171" fontId="0" fillId="0" borderId="0" xfId="0" applyNumberFormat="1"/>
    <xf numFmtId="0" fontId="26" fillId="0" borderId="0" xfId="48" applyFont="1" applyFill="1" applyAlignment="1" applyProtection="1">
      <alignment horizontal="left"/>
    </xf>
    <xf numFmtId="0" fontId="26" fillId="0" borderId="0" xfId="48" applyFont="1" applyFill="1" applyProtection="1"/>
    <xf numFmtId="170" fontId="0" fillId="0" borderId="0" xfId="0" applyNumberFormat="1"/>
    <xf numFmtId="0" fontId="34" fillId="35" borderId="0" xfId="49" applyFont="1" applyAlignment="1">
      <alignment horizontal="center"/>
    </xf>
    <xf numFmtId="0" fontId="33" fillId="33" borderId="0" xfId="50" applyFont="1" applyAlignment="1">
      <alignment horizontal="center"/>
    </xf>
    <xf numFmtId="9" fontId="33" fillId="38" borderId="0" xfId="55" applyFont="1" applyFill="1" applyAlignment="1">
      <alignment horizontal="right"/>
    </xf>
    <xf numFmtId="0" fontId="0" fillId="41" borderId="0" xfId="0" applyFill="1"/>
    <xf numFmtId="0" fontId="24" fillId="41" borderId="0" xfId="0" applyFont="1" applyFill="1"/>
    <xf numFmtId="0" fontId="2" fillId="42" borderId="0" xfId="62" applyFill="1"/>
    <xf numFmtId="0" fontId="2" fillId="0" borderId="0" xfId="62"/>
    <xf numFmtId="0" fontId="33" fillId="0" borderId="0" xfId="62" applyFont="1" applyAlignment="1">
      <alignment wrapText="1"/>
    </xf>
    <xf numFmtId="4" fontId="33" fillId="38" borderId="0" xfId="52" applyNumberFormat="1" applyFont="1" applyAlignment="1">
      <alignment horizontal="right"/>
    </xf>
    <xf numFmtId="3" fontId="2" fillId="0" borderId="0" xfId="62" applyNumberFormat="1"/>
    <xf numFmtId="4" fontId="2" fillId="0" borderId="0" xfId="62" applyNumberFormat="1"/>
    <xf numFmtId="4" fontId="20" fillId="0" borderId="0" xfId="62" applyNumberFormat="1" applyFont="1"/>
    <xf numFmtId="0" fontId="2" fillId="0" borderId="0" xfId="62" applyAlignment="1">
      <alignment vertical="center"/>
    </xf>
    <xf numFmtId="0" fontId="34" fillId="41" borderId="0" xfId="62" applyFont="1" applyFill="1" applyAlignment="1">
      <alignment vertical="center" wrapText="1"/>
    </xf>
    <xf numFmtId="0" fontId="2" fillId="0" borderId="0" xfId="62" applyFill="1"/>
    <xf numFmtId="0" fontId="33" fillId="0" borderId="0" xfId="50" applyFont="1" applyFill="1" applyAlignment="1">
      <alignment horizontal="center"/>
    </xf>
    <xf numFmtId="0" fontId="34" fillId="35" borderId="0" xfId="49" applyFont="1" applyAlignment="1">
      <alignment horizontal="left"/>
    </xf>
    <xf numFmtId="0" fontId="33" fillId="33" borderId="0" xfId="50" applyFont="1" applyAlignment="1">
      <alignment horizontal="left"/>
    </xf>
    <xf numFmtId="0" fontId="2" fillId="0" borderId="0" xfId="62" applyAlignment="1">
      <alignment horizontal="left"/>
    </xf>
    <xf numFmtId="0" fontId="24" fillId="42" borderId="0" xfId="62" applyFont="1" applyFill="1" applyAlignment="1">
      <alignment horizontal="left"/>
    </xf>
    <xf numFmtId="0" fontId="33" fillId="0" borderId="0" xfId="62" applyFont="1" applyAlignment="1">
      <alignment horizontal="left"/>
    </xf>
    <xf numFmtId="4" fontId="1" fillId="0" borderId="0" xfId="62" applyNumberFormat="1" applyFont="1"/>
    <xf numFmtId="3" fontId="2" fillId="0" borderId="0" xfId="62" applyNumberFormat="1" applyFill="1"/>
    <xf numFmtId="9" fontId="22" fillId="39" borderId="0" xfId="53" applyNumberFormat="1" applyAlignment="1">
      <alignment horizontal="center"/>
    </xf>
    <xf numFmtId="2" fontId="33" fillId="33" borderId="0" xfId="50" applyNumberFormat="1" applyFont="1" applyAlignment="1">
      <alignment horizontal="left"/>
    </xf>
    <xf numFmtId="3" fontId="33" fillId="38" borderId="10" xfId="52" applyNumberFormat="1" applyFont="1" applyBorder="1" applyAlignment="1">
      <alignment horizontal="right"/>
    </xf>
    <xf numFmtId="0" fontId="22" fillId="33" borderId="0" xfId="50" applyAlignment="1" applyProtection="1">
      <alignment horizontal="left"/>
    </xf>
    <xf numFmtId="3" fontId="26" fillId="0" borderId="0" xfId="0" applyNumberFormat="1" applyFont="1" applyProtection="1"/>
    <xf numFmtId="3" fontId="24" fillId="0" borderId="0" xfId="48" applyNumberFormat="1" applyFill="1" applyProtection="1"/>
    <xf numFmtId="3" fontId="0" fillId="0" borderId="0" xfId="0" applyNumberFormat="1" applyFill="1" applyProtection="1"/>
    <xf numFmtId="3" fontId="26" fillId="0" borderId="0" xfId="48" applyNumberFormat="1" applyFont="1" applyFill="1" applyAlignment="1" applyProtection="1">
      <alignment horizontal="right"/>
    </xf>
    <xf numFmtId="4" fontId="26" fillId="0" borderId="0" xfId="0" applyNumberFormat="1" applyFont="1" applyProtection="1"/>
    <xf numFmtId="2" fontId="0" fillId="0" borderId="0" xfId="0" applyNumberFormat="1" applyProtection="1"/>
    <xf numFmtId="0" fontId="26" fillId="0" borderId="0" xfId="0" applyFont="1" applyAlignment="1" applyProtection="1">
      <alignment horizontal="right"/>
    </xf>
    <xf numFmtId="3" fontId="26" fillId="0" borderId="0" xfId="0" applyNumberFormat="1" applyFont="1" applyFill="1" applyAlignment="1" applyProtection="1">
      <alignment horizontal="right"/>
    </xf>
    <xf numFmtId="6" fontId="26" fillId="0" borderId="0" xfId="0" applyNumberFormat="1" applyFont="1" applyProtection="1"/>
    <xf numFmtId="8" fontId="0" fillId="0" borderId="0" xfId="0" applyNumberFormat="1" applyProtection="1"/>
    <xf numFmtId="0" fontId="22" fillId="33" borderId="0" xfId="50" applyNumberFormat="1" applyFont="1" applyAlignment="1">
      <alignment horizontal="center"/>
    </xf>
    <xf numFmtId="0" fontId="22" fillId="33" borderId="0" xfId="50" applyFont="1" applyAlignment="1">
      <alignment horizontal="center"/>
    </xf>
    <xf numFmtId="0" fontId="22" fillId="37" borderId="0" xfId="51" applyNumberFormat="1" applyFill="1" applyBorder="1" applyAlignment="1">
      <alignment horizontal="right"/>
    </xf>
    <xf numFmtId="9" fontId="0" fillId="0" borderId="0" xfId="0" applyNumberFormat="1" applyAlignment="1">
      <alignment horizontal="right"/>
    </xf>
    <xf numFmtId="172" fontId="0" fillId="0" borderId="0" xfId="0" applyNumberFormat="1"/>
    <xf numFmtId="2" fontId="33" fillId="33" borderId="19" xfId="50" applyNumberFormat="1" applyFont="1" applyBorder="1" applyAlignment="1">
      <alignment horizontal="left"/>
    </xf>
    <xf numFmtId="9" fontId="0" fillId="0" borderId="0" xfId="0" applyNumberFormat="1"/>
    <xf numFmtId="0" fontId="26" fillId="0" borderId="0" xfId="0" applyFont="1" applyFill="1" applyAlignment="1" applyProtection="1">
      <alignment horizontal="left"/>
    </xf>
    <xf numFmtId="2" fontId="22" fillId="37" borderId="0" xfId="51" applyAlignment="1">
      <alignment horizontal="left"/>
    </xf>
    <xf numFmtId="6" fontId="22" fillId="33" borderId="0" xfId="50" applyNumberFormat="1" applyAlignment="1" applyProtection="1">
      <alignment horizontal="left"/>
    </xf>
    <xf numFmtId="172" fontId="26" fillId="0" borderId="0" xfId="0" applyNumberFormat="1" applyFont="1" applyFill="1" applyProtection="1"/>
    <xf numFmtId="2" fontId="33" fillId="33" borderId="0" xfId="50" applyNumberFormat="1" applyFont="1" applyBorder="1" applyAlignment="1">
      <alignment horizontal="left"/>
    </xf>
    <xf numFmtId="9" fontId="33" fillId="33" borderId="0" xfId="55" applyFont="1" applyFill="1" applyAlignment="1">
      <alignment horizontal="left"/>
    </xf>
    <xf numFmtId="10" fontId="0" fillId="0" borderId="0" xfId="0" applyNumberFormat="1"/>
    <xf numFmtId="3" fontId="33" fillId="37" borderId="10" xfId="52" applyNumberFormat="1" applyFont="1" applyFill="1" applyBorder="1" applyAlignment="1">
      <alignment horizontal="right"/>
    </xf>
    <xf numFmtId="3" fontId="33" fillId="37" borderId="20" xfId="52" applyNumberFormat="1" applyFont="1" applyFill="1" applyBorder="1" applyAlignment="1">
      <alignment horizontal="right"/>
    </xf>
    <xf numFmtId="3" fontId="22" fillId="38" borderId="21" xfId="52" applyNumberFormat="1" applyBorder="1"/>
    <xf numFmtId="3" fontId="22" fillId="38" borderId="22" xfId="52" applyNumberFormat="1" applyBorder="1"/>
    <xf numFmtId="3" fontId="22" fillId="38" borderId="23" xfId="52" applyNumberFormat="1" applyBorder="1"/>
    <xf numFmtId="3" fontId="22" fillId="38" borderId="24" xfId="52" applyNumberFormat="1" applyBorder="1"/>
    <xf numFmtId="3" fontId="22" fillId="38" borderId="0" xfId="52" applyNumberFormat="1" applyBorder="1"/>
    <xf numFmtId="3" fontId="22" fillId="38" borderId="25" xfId="52" applyNumberFormat="1" applyBorder="1"/>
    <xf numFmtId="3" fontId="22" fillId="38" borderId="19" xfId="52" applyNumberFormat="1" applyBorder="1"/>
    <xf numFmtId="3" fontId="22" fillId="38" borderId="20" xfId="52" applyNumberFormat="1" applyBorder="1"/>
    <xf numFmtId="4" fontId="33" fillId="38" borderId="22" xfId="52" applyNumberFormat="1" applyFont="1" applyBorder="1" applyAlignment="1">
      <alignment horizontal="right"/>
    </xf>
    <xf numFmtId="4" fontId="33" fillId="38" borderId="23" xfId="52" applyNumberFormat="1" applyFont="1" applyBorder="1" applyAlignment="1">
      <alignment horizontal="right"/>
    </xf>
    <xf numFmtId="4" fontId="33" fillId="38" borderId="19" xfId="52" applyNumberFormat="1" applyFont="1" applyBorder="1" applyAlignment="1">
      <alignment horizontal="right"/>
    </xf>
    <xf numFmtId="4" fontId="33" fillId="38" borderId="20" xfId="52" applyNumberFormat="1" applyFont="1" applyBorder="1" applyAlignment="1">
      <alignment horizontal="right"/>
    </xf>
    <xf numFmtId="9" fontId="22" fillId="39" borderId="0" xfId="55" applyFont="1" applyFill="1" applyAlignment="1" applyProtection="1">
      <alignment horizontal="center"/>
      <protection locked="0"/>
    </xf>
    <xf numFmtId="2" fontId="0" fillId="37" borderId="0" xfId="51" applyFont="1" applyFill="1" applyBorder="1" applyAlignment="1" applyProtection="1">
      <alignment horizontal="left" vertical="top"/>
      <protection locked="0"/>
    </xf>
    <xf numFmtId="2" fontId="22" fillId="37" borderId="0" xfId="51" applyFill="1" applyBorder="1" applyAlignment="1">
      <alignment horizontal="left"/>
    </xf>
    <xf numFmtId="4" fontId="33" fillId="0" borderId="0" xfId="52" applyNumberFormat="1" applyFont="1" applyFill="1" applyBorder="1" applyAlignment="1">
      <alignment horizontal="right"/>
    </xf>
    <xf numFmtId="0" fontId="37" fillId="0" borderId="0" xfId="49" applyFont="1" applyFill="1" applyBorder="1" applyAlignment="1">
      <alignment vertical="center"/>
    </xf>
    <xf numFmtId="0" fontId="37" fillId="0" borderId="0" xfId="49" applyFont="1" applyFill="1" applyBorder="1" applyAlignment="1"/>
    <xf numFmtId="0" fontId="0" fillId="0" borderId="0" xfId="0" applyFont="1" applyFill="1" applyBorder="1"/>
    <xf numFmtId="0" fontId="37" fillId="0" borderId="0" xfId="49" applyFont="1" applyFill="1" applyBorder="1" applyAlignment="1">
      <alignment horizontal="right"/>
    </xf>
    <xf numFmtId="2" fontId="33" fillId="0" borderId="0" xfId="50" applyNumberFormat="1" applyFont="1" applyFill="1" applyBorder="1" applyAlignment="1">
      <alignment horizontal="left"/>
    </xf>
    <xf numFmtId="3" fontId="33" fillId="0" borderId="0" xfId="52" applyNumberFormat="1" applyFont="1" applyFill="1" applyBorder="1" applyAlignment="1">
      <alignment horizontal="right"/>
    </xf>
    <xf numFmtId="3" fontId="22" fillId="40" borderId="0" xfId="54" applyNumberFormat="1" applyAlignment="1">
      <alignment horizontal="left"/>
    </xf>
    <xf numFmtId="4" fontId="33" fillId="38" borderId="21" xfId="52" applyNumberFormat="1" applyFont="1" applyBorder="1" applyAlignment="1">
      <alignment horizontal="left"/>
    </xf>
    <xf numFmtId="4" fontId="33" fillId="38" borderId="25" xfId="52" applyNumberFormat="1" applyFont="1" applyBorder="1" applyAlignment="1">
      <alignment horizontal="left"/>
    </xf>
    <xf numFmtId="0" fontId="37" fillId="41" borderId="0" xfId="62" applyFont="1" applyFill="1" applyAlignment="1">
      <alignment horizontal="center" vertical="center" wrapText="1"/>
    </xf>
    <xf numFmtId="0" fontId="34" fillId="41" borderId="0" xfId="62" applyFont="1" applyFill="1" applyAlignment="1">
      <alignment horizontal="center" wrapText="1"/>
    </xf>
  </cellXfs>
  <cellStyles count="64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1 2" xfId="60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/>
    <cellStyle name="Check Cell" xfId="19" builtinId="23" hidden="1"/>
    <cellStyle name="Comma" xfId="2" builtinId="3" hidden="1"/>
    <cellStyle name="Comma [0]" xfId="3" builtinId="6" hidden="1"/>
    <cellStyle name="Comma 2" xfId="59"/>
    <cellStyle name="Currency" xfId="4" builtinId="4" hidden="1"/>
    <cellStyle name="Currency [0]" xfId="5" builtinId="7" hidden="1"/>
    <cellStyle name="Currency 2" xfId="57"/>
    <cellStyle name="Explanatory Text" xfId="22" builtinId="53" hidden="1"/>
    <cellStyle name="Good" xfId="12" builtinId="26" hidden="1"/>
    <cellStyle name="Header 1" xfId="1"/>
    <cellStyle name="Header 2" xfId="48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/>
    <cellStyle name="Linked Cell" xfId="18" builtinId="24" hidden="1"/>
    <cellStyle name="Neutral" xfId="14" builtinId="28" hidden="1"/>
    <cellStyle name="Normal" xfId="0" builtinId="0" customBuiltin="1"/>
    <cellStyle name="Normal 2" xfId="62"/>
    <cellStyle name="Normal 2 2" xfId="63"/>
    <cellStyle name="Normal 3" xfId="56"/>
    <cellStyle name="Normal 4" xfId="61"/>
    <cellStyle name="Note" xfId="21" builtinId="10" hidden="1"/>
    <cellStyle name="Output" xfId="16" builtinId="21" hidden="1"/>
    <cellStyle name="Output Cell" xfId="54"/>
    <cellStyle name="Parameter Cell" xfId="53"/>
    <cellStyle name="Percent" xfId="6" builtinId="5" hidden="1"/>
    <cellStyle name="Percent" xfId="55" builtinId="5"/>
    <cellStyle name="Percent 2" xfId="58"/>
    <cellStyle name="Table Header" xfId="49"/>
    <cellStyle name="Table Row Name" xfId="50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788FA6"/>
      <color rgb="FFE0D4A4"/>
      <color rgb="FF696A6D"/>
      <color rgb="FF9ECCA6"/>
      <color rgb="FF9ECFF8"/>
      <color rgb="FF9EC0DB"/>
      <color rgb="FF000000"/>
      <color rgb="FF262D33"/>
      <color rgb="FFF6C1D1"/>
      <color rgb="FFD9DA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F2D-4D7E-87E6-50BA7205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0473408"/>
        <c:axId val="350471440"/>
      </c:barChart>
      <c:catAx>
        <c:axId val="3504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71440"/>
        <c:crosses val="autoZero"/>
        <c:auto val="1"/>
        <c:lblAlgn val="ctr"/>
        <c:lblOffset val="100"/>
        <c:noMultiLvlLbl val="0"/>
      </c:catAx>
      <c:valAx>
        <c:axId val="350471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7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AU" sz="1000" b="0"/>
              <a:t>High estimates of net economic benefits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09B-4C1F-A812-42EF84F5E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  <c:min val="-3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AU" sz="1000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 presentation'!$C$4</c:f>
              <c:strCache>
                <c:ptCount val="1"/>
                <c:pt idx="0">
                  <c:v>Weighted NPV ($m)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chemeClr val="tx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4E9-426D-86D8-AEC4C220DB5B}"/>
              </c:ext>
            </c:extLst>
          </c:dPt>
          <c:dPt>
            <c:idx val="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7B-4262-B201-8689043E0EE3}"/>
              </c:ext>
            </c:extLst>
          </c:dPt>
          <c:dPt>
            <c:idx val="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4E9-426D-86D8-AEC4C220DB5B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4E9-426D-86D8-AEC4C220DB5B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14E9-426D-86D8-AEC4C220DB5B}"/>
              </c:ext>
            </c:extLst>
          </c:dPt>
          <c:dPt>
            <c:idx val="5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4E9-426D-86D8-AEC4C220DB5B}"/>
              </c:ext>
            </c:extLst>
          </c:dPt>
          <c:dPt>
            <c:idx val="6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14E9-426D-86D8-AEC4C220DB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14E9-426D-86D8-AEC4C220DB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0243-43CE-8A83-55AEFDB3528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14E9-426D-86D8-AEC4C220DB5B}"/>
              </c:ext>
            </c:extLst>
          </c:dPt>
          <c:dPt>
            <c:idx val="10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4E9-426D-86D8-AEC4C220DB5B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4E9-426D-86D8-AEC4C220DB5B}"/>
              </c:ext>
            </c:extLst>
          </c:dPt>
          <c:dPt>
            <c:idx val="1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14E9-426D-86D8-AEC4C220DB5B}"/>
              </c:ext>
            </c:extLst>
          </c:dPt>
          <c:dPt>
            <c:idx val="1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4E9-426D-86D8-AEC4C220DB5B}"/>
              </c:ext>
            </c:extLst>
          </c:dPt>
          <c:cat>
            <c:strRef>
              <c:f>'For presentation'!$B$27:$B$43</c:f>
              <c:strCache>
                <c:ptCount val="14"/>
                <c:pt idx="0">
                  <c:v>1A</c:v>
                </c:pt>
                <c:pt idx="1">
                  <c:v>1C</c:v>
                </c:pt>
                <c:pt idx="2">
                  <c:v>1D</c:v>
                </c:pt>
                <c:pt idx="3">
                  <c:v>1E</c:v>
                </c:pt>
                <c:pt idx="4">
                  <c:v>1F</c:v>
                </c:pt>
                <c:pt idx="5">
                  <c:v>2</c:v>
                </c:pt>
                <c:pt idx="6">
                  <c:v>2B</c:v>
                </c:pt>
                <c:pt idx="7">
                  <c:v>3</c:v>
                </c:pt>
                <c:pt idx="8">
                  <c:v>4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  <c:pt idx="12">
                  <c:v>5E</c:v>
                </c:pt>
                <c:pt idx="13">
                  <c:v>5G</c:v>
                </c:pt>
              </c:strCache>
            </c:strRef>
          </c:cat>
          <c:val>
            <c:numRef>
              <c:f>'For presentation'!$C$27:$C$43</c:f>
              <c:numCache>
                <c:formatCode>#,##0</c:formatCode>
                <c:ptCount val="14"/>
                <c:pt idx="0">
                  <c:v>321.12099541982292</c:v>
                </c:pt>
                <c:pt idx="1">
                  <c:v>221.26963797585714</c:v>
                </c:pt>
                <c:pt idx="2">
                  <c:v>245.50415552620746</c:v>
                </c:pt>
                <c:pt idx="3">
                  <c:v>287.81154786121471</c:v>
                </c:pt>
                <c:pt idx="4">
                  <c:v>144.03511819652101</c:v>
                </c:pt>
                <c:pt idx="5">
                  <c:v>274.28624594856183</c:v>
                </c:pt>
                <c:pt idx="6">
                  <c:v>270.88354505920364</c:v>
                </c:pt>
                <c:pt idx="7">
                  <c:v>255.15159127779884</c:v>
                </c:pt>
                <c:pt idx="8">
                  <c:v>89.20567742433191</c:v>
                </c:pt>
                <c:pt idx="9">
                  <c:v>133.47981682138865</c:v>
                </c:pt>
                <c:pt idx="10">
                  <c:v>207.12355075392696</c:v>
                </c:pt>
                <c:pt idx="11">
                  <c:v>197.17026833182712</c:v>
                </c:pt>
                <c:pt idx="12">
                  <c:v>188.52318196373025</c:v>
                </c:pt>
                <c:pt idx="13">
                  <c:v>148.37671070289406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4E9-426D-86D8-AEC4C220D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043144"/>
        <c:axId val="433202680"/>
      </c:barChart>
      <c:catAx>
        <c:axId val="3450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33202680"/>
        <c:crosses val="autoZero"/>
        <c:auto val="1"/>
        <c:lblAlgn val="ctr"/>
        <c:lblOffset val="100"/>
        <c:noMultiLvlLbl val="0"/>
      </c:catAx>
      <c:valAx>
        <c:axId val="433202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NPV, millions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450431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 presentation'!$C$4</c:f>
              <c:strCache>
                <c:ptCount val="1"/>
                <c:pt idx="0">
                  <c:v>Weighted NPV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20A-4611-BF98-E6C8EB0E6993}"/>
              </c:ext>
            </c:extLst>
          </c:dPt>
          <c:dPt>
            <c:idx val="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931F-4B64-9304-C6908D3438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C20A-4611-BF98-E6C8EB0E6993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C20A-4611-BF98-E6C8EB0E6993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C20A-4611-BF98-E6C8EB0E6993}"/>
              </c:ext>
            </c:extLst>
          </c:dPt>
          <c:dPt>
            <c:idx val="5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C20A-4611-BF98-E6C8EB0E6993}"/>
              </c:ext>
            </c:extLst>
          </c:dPt>
          <c:dPt>
            <c:idx val="6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C20A-4611-BF98-E6C8EB0E69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C20A-4611-BF98-E6C8EB0E6993}"/>
              </c:ext>
            </c:extLst>
          </c:dPt>
          <c:dPt>
            <c:idx val="10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D20-476E-8B85-06282CA692DD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D20-476E-8B85-06282CA692DD}"/>
              </c:ext>
            </c:extLst>
          </c:dPt>
          <c:dPt>
            <c:idx val="1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C20A-4611-BF98-E6C8EB0E6993}"/>
              </c:ext>
            </c:extLst>
          </c:dPt>
          <c:dPt>
            <c:idx val="1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C20A-4611-BF98-E6C8EB0E6993}"/>
              </c:ext>
            </c:extLst>
          </c:dPt>
          <c:cat>
            <c:strRef>
              <c:f>'For presentation'!$B$71:$B$87</c:f>
              <c:strCache>
                <c:ptCount val="14"/>
                <c:pt idx="0">
                  <c:v>1A</c:v>
                </c:pt>
                <c:pt idx="1">
                  <c:v>1C</c:v>
                </c:pt>
                <c:pt idx="2">
                  <c:v>1D</c:v>
                </c:pt>
                <c:pt idx="3">
                  <c:v>1E</c:v>
                </c:pt>
                <c:pt idx="4">
                  <c:v>1F</c:v>
                </c:pt>
                <c:pt idx="5">
                  <c:v>2</c:v>
                </c:pt>
                <c:pt idx="6">
                  <c:v>2B</c:v>
                </c:pt>
                <c:pt idx="7">
                  <c:v>3</c:v>
                </c:pt>
                <c:pt idx="8">
                  <c:v>4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  <c:pt idx="12">
                  <c:v>5E</c:v>
                </c:pt>
                <c:pt idx="13">
                  <c:v>5G</c:v>
                </c:pt>
              </c:strCache>
            </c:strRef>
          </c:cat>
          <c:val>
            <c:numRef>
              <c:f>'For presentation'!$C$71:$C$87</c:f>
              <c:numCache>
                <c:formatCode>#,##0</c:formatCode>
                <c:ptCount val="14"/>
                <c:pt idx="0">
                  <c:v>321.12099541982292</c:v>
                </c:pt>
                <c:pt idx="1">
                  <c:v>130.50713913404297</c:v>
                </c:pt>
                <c:pt idx="2">
                  <c:v>154.74165668439329</c:v>
                </c:pt>
                <c:pt idx="3">
                  <c:v>197.04904901940054</c:v>
                </c:pt>
                <c:pt idx="4">
                  <c:v>53.272619354706826</c:v>
                </c:pt>
                <c:pt idx="5">
                  <c:v>288.15425733299656</c:v>
                </c:pt>
                <c:pt idx="6">
                  <c:v>284.45683250723857</c:v>
                </c:pt>
                <c:pt idx="7">
                  <c:v>255.15159127779884</c:v>
                </c:pt>
                <c:pt idx="8">
                  <c:v>89.20567742433191</c:v>
                </c:pt>
                <c:pt idx="9">
                  <c:v>133.47981682138865</c:v>
                </c:pt>
                <c:pt idx="10">
                  <c:v>116.36105191211283</c:v>
                </c:pt>
                <c:pt idx="11">
                  <c:v>106.40776949001297</c:v>
                </c:pt>
                <c:pt idx="12">
                  <c:v>97.760683121916117</c:v>
                </c:pt>
                <c:pt idx="13">
                  <c:v>57.61421186107993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C20A-4611-BF98-E6C8EB0E6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043144"/>
        <c:axId val="433202680"/>
      </c:barChart>
      <c:catAx>
        <c:axId val="3450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33202680"/>
        <c:crosses val="autoZero"/>
        <c:auto val="1"/>
        <c:lblAlgn val="ctr"/>
        <c:lblOffset val="100"/>
        <c:noMultiLvlLbl val="0"/>
      </c:catAx>
      <c:valAx>
        <c:axId val="433202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NPV, millions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450431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 presentation'!$C$4</c:f>
              <c:strCache>
                <c:ptCount val="1"/>
                <c:pt idx="0">
                  <c:v>Weighted NPV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460-471F-BEC7-DBF448F0791F}"/>
              </c:ext>
            </c:extLst>
          </c:dPt>
          <c:dPt>
            <c:idx val="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7AA-44E3-B750-0C99E04855FD}"/>
              </c:ext>
            </c:extLst>
          </c:dPt>
          <c:dPt>
            <c:idx val="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460-471F-BEC7-DBF448F0791F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460-471F-BEC7-DBF448F0791F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460-471F-BEC7-DBF448F0791F}"/>
              </c:ext>
            </c:extLst>
          </c:dPt>
          <c:dPt>
            <c:idx val="5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bg1"/>
                </a:bgClr>
              </a:pattFill>
              <a:ln w="127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6460-471F-BEC7-DBF448F0791F}"/>
              </c:ext>
            </c:extLst>
          </c:dPt>
          <c:dPt>
            <c:idx val="6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bg1"/>
                </a:bgClr>
              </a:pattFill>
              <a:ln w="127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460-471F-BEC7-DBF448F0791F}"/>
              </c:ext>
            </c:extLst>
          </c:dPt>
          <c:dPt>
            <c:idx val="10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395-4463-92BD-04F56B11E15D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395-4463-92BD-04F56B11E15D}"/>
              </c:ext>
            </c:extLst>
          </c:dPt>
          <c:dPt>
            <c:idx val="1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>
                    <a:alpha val="97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460-471F-BEC7-DBF448F0791F}"/>
              </c:ext>
            </c:extLst>
          </c:dPt>
          <c:dPt>
            <c:idx val="1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6460-471F-BEC7-DBF448F0791F}"/>
              </c:ext>
            </c:extLst>
          </c:dPt>
          <c:cat>
            <c:strRef>
              <c:f>'For presentation'!$B$93:$B$109</c:f>
              <c:strCache>
                <c:ptCount val="14"/>
                <c:pt idx="0">
                  <c:v>1A</c:v>
                </c:pt>
                <c:pt idx="1">
                  <c:v>1C</c:v>
                </c:pt>
                <c:pt idx="2">
                  <c:v>1D</c:v>
                </c:pt>
                <c:pt idx="3">
                  <c:v>1E</c:v>
                </c:pt>
                <c:pt idx="4">
                  <c:v>1F</c:v>
                </c:pt>
                <c:pt idx="5">
                  <c:v>2</c:v>
                </c:pt>
                <c:pt idx="6">
                  <c:v>2B</c:v>
                </c:pt>
                <c:pt idx="7">
                  <c:v>3</c:v>
                </c:pt>
                <c:pt idx="8">
                  <c:v>4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  <c:pt idx="12">
                  <c:v>5E</c:v>
                </c:pt>
                <c:pt idx="13">
                  <c:v>5G</c:v>
                </c:pt>
              </c:strCache>
            </c:strRef>
          </c:cat>
          <c:val>
            <c:numRef>
              <c:f>'For presentation'!$C$93:$C$109</c:f>
              <c:numCache>
                <c:formatCode>#,##0</c:formatCode>
                <c:ptCount val="14"/>
                <c:pt idx="0">
                  <c:v>133.47981682138865</c:v>
                </c:pt>
                <c:pt idx="1">
                  <c:v>221.26963797585714</c:v>
                </c:pt>
                <c:pt idx="2">
                  <c:v>245.50415552620746</c:v>
                </c:pt>
                <c:pt idx="3">
                  <c:v>287.81154786121471</c:v>
                </c:pt>
                <c:pt idx="4">
                  <c:v>144.03511819652101</c:v>
                </c:pt>
                <c:pt idx="5">
                  <c:v>321.08083262580118</c:v>
                </c:pt>
                <c:pt idx="6">
                  <c:v>317.38340780004324</c:v>
                </c:pt>
                <c:pt idx="7">
                  <c:v>255.15159127779884</c:v>
                </c:pt>
                <c:pt idx="8">
                  <c:v>89.20567742433191</c:v>
                </c:pt>
                <c:pt idx="9">
                  <c:v>133.47981682138865</c:v>
                </c:pt>
                <c:pt idx="10">
                  <c:v>207.12355075392696</c:v>
                </c:pt>
                <c:pt idx="11">
                  <c:v>197.17026833182712</c:v>
                </c:pt>
                <c:pt idx="12">
                  <c:v>188.52318196373025</c:v>
                </c:pt>
                <c:pt idx="13">
                  <c:v>148.37671070289406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60-471F-BEC7-DBF448F07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043144"/>
        <c:axId val="433202680"/>
      </c:barChart>
      <c:catAx>
        <c:axId val="3450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33202680"/>
        <c:crosses val="autoZero"/>
        <c:auto val="1"/>
        <c:lblAlgn val="ctr"/>
        <c:lblOffset val="100"/>
        <c:noMultiLvlLbl val="0"/>
      </c:catAx>
      <c:valAx>
        <c:axId val="433202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NPV, millions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450431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rgbClr val="696A6D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 presentation'!$C$4</c:f>
              <c:strCache>
                <c:ptCount val="1"/>
                <c:pt idx="0">
                  <c:v>Weighted NPV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D9-4F0C-9A7E-E04E4DA41FFA}"/>
              </c:ext>
            </c:extLst>
          </c:dPt>
          <c:dPt>
            <c:idx val="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D9-4F0C-9A7E-E04E4DA41F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D9-4F0C-9A7E-E04E4DA41FFA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FD9-4F0C-9A7E-E04E4DA41FFA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FD9-4F0C-9A7E-E04E4DA41FFA}"/>
              </c:ext>
            </c:extLst>
          </c:dPt>
          <c:dPt>
            <c:idx val="5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FD9-4F0C-9A7E-E04E4DA41FFA}"/>
              </c:ext>
            </c:extLst>
          </c:dPt>
          <c:dPt>
            <c:idx val="6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FD9-4F0C-9A7E-E04E4DA41FF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FD9-4F0C-9A7E-E04E4DA41FF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FD9-4F0C-9A7E-E04E4DA41FFA}"/>
              </c:ext>
            </c:extLst>
          </c:dPt>
          <c:dPt>
            <c:idx val="10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FD9-4F0C-9A7E-E04E4DA41FFA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FD9-4F0C-9A7E-E04E4DA41FFA}"/>
              </c:ext>
            </c:extLst>
          </c:dPt>
          <c:dPt>
            <c:idx val="12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FD9-4F0C-9A7E-E04E4DA41FFA}"/>
              </c:ext>
            </c:extLst>
          </c:dPt>
          <c:dPt>
            <c:idx val="13"/>
            <c:invertIfNegative val="0"/>
            <c:bubble3D val="0"/>
            <c:spPr>
              <a:pattFill prst="wdUpDiag">
                <a:fgClr>
                  <a:schemeClr val="tx2"/>
                </a:fgClr>
                <a:bgClr>
                  <a:schemeClr val="bg1"/>
                </a:bgClr>
              </a:pattFill>
              <a:ln w="127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FD9-4F0C-9A7E-E04E4DA41FFA}"/>
              </c:ext>
            </c:extLst>
          </c:dPt>
          <c:cat>
            <c:numRef>
              <c:f>'For presentation'!$B$5:$B$21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cat>
          <c:val>
            <c:numRef>
              <c:f>'For presentation'!$C$5:$C$21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D9-4F0C-9A7E-E04E4DA41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043144"/>
        <c:axId val="433202680"/>
      </c:barChart>
      <c:catAx>
        <c:axId val="3450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33202680"/>
        <c:crosses val="autoZero"/>
        <c:auto val="1"/>
        <c:lblAlgn val="ctr"/>
        <c:lblOffset val="100"/>
        <c:noMultiLvlLbl val="0"/>
      </c:catAx>
      <c:valAx>
        <c:axId val="433202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AU" b="0"/>
                  <a:t>NPV, millions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450431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 presentation'!$C$4</c:f>
              <c:strCache>
                <c:ptCount val="1"/>
                <c:pt idx="0">
                  <c:v>Weighted NPV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D-414F-A2C2-0140C50E572E}"/>
              </c:ext>
            </c:extLst>
          </c:dPt>
          <c:cat>
            <c:strRef>
              <c:f>'For presentation'!$B$49:$B$65</c:f>
              <c:strCache>
                <c:ptCount val="12"/>
                <c:pt idx="0">
                  <c:v>1A</c:v>
                </c:pt>
                <c:pt idx="1">
                  <c:v>1C</c:v>
                </c:pt>
                <c:pt idx="2">
                  <c:v>1D</c:v>
                </c:pt>
                <c:pt idx="5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5A</c:v>
                </c:pt>
                <c:pt idx="10">
                  <c:v>5B</c:v>
                </c:pt>
                <c:pt idx="11">
                  <c:v>5C</c:v>
                </c:pt>
              </c:strCache>
            </c:strRef>
          </c:cat>
          <c:val>
            <c:numRef>
              <c:f>'For presentation'!$C$49:$C$65</c:f>
              <c:numCache>
                <c:formatCode>#,##0</c:formatCode>
                <c:ptCount val="14"/>
                <c:pt idx="0">
                  <c:v>321.12099541982292</c:v>
                </c:pt>
                <c:pt idx="1">
                  <c:v>15.542984023859502</c:v>
                </c:pt>
                <c:pt idx="2">
                  <c:v>154.74165668439329</c:v>
                </c:pt>
                <c:pt idx="3">
                  <c:v>0</c:v>
                </c:pt>
                <c:pt idx="4">
                  <c:v>0</c:v>
                </c:pt>
                <c:pt idx="5">
                  <c:v>210.95850548371845</c:v>
                </c:pt>
                <c:pt idx="6">
                  <c:v>0</c:v>
                </c:pt>
                <c:pt idx="7">
                  <c:v>255.15159127779884</c:v>
                </c:pt>
                <c:pt idx="8">
                  <c:v>89.20567742433191</c:v>
                </c:pt>
                <c:pt idx="9">
                  <c:v>133.47981682138865</c:v>
                </c:pt>
                <c:pt idx="10">
                  <c:v>95.832525009485963</c:v>
                </c:pt>
                <c:pt idx="11">
                  <c:v>82.451848316710681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4D-414F-A2C2-0140C50E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5043144"/>
        <c:axId val="433202680"/>
      </c:barChart>
      <c:catAx>
        <c:axId val="3450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33202680"/>
        <c:crosses val="autoZero"/>
        <c:auto val="1"/>
        <c:lblAlgn val="ctr"/>
        <c:lblOffset val="100"/>
        <c:noMultiLvlLbl val="0"/>
      </c:catAx>
      <c:valAx>
        <c:axId val="433202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NPV, millions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4504314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A-4E17-8EE3-EE919584225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DEA-4C97-A4C6-8813D20CCB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41-45E1-82CF-F05514389E9A}"/>
              </c:ext>
            </c:extLst>
          </c:dPt>
          <c:cat>
            <c:strRef>
              <c:f>'Preliminary results'!$B$90:$B$95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results'!$C$90:$C$95</c:f>
              <c:numCache>
                <c:formatCode>#,##0</c:formatCode>
                <c:ptCount val="6"/>
                <c:pt idx="0">
                  <c:v>-123.20985767607969</c:v>
                </c:pt>
                <c:pt idx="1">
                  <c:v>-152.95016814961622</c:v>
                </c:pt>
                <c:pt idx="2">
                  <c:v>-186.93909440508645</c:v>
                </c:pt>
                <c:pt idx="3">
                  <c:v>-28.787227635111233</c:v>
                </c:pt>
                <c:pt idx="4">
                  <c:v>-270.85801049486099</c:v>
                </c:pt>
                <c:pt idx="5">
                  <c:v>-334.58724722386773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4A-4E17-8EE3-EE9195842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67-4E70-B3D5-74154CC9FC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33-4B48-9B6F-0DE75C8CFA38}"/>
              </c:ext>
            </c:extLst>
          </c:dPt>
          <c:cat>
            <c:strRef>
              <c:f>'Preliminary results'!$B$103:$B$108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results'!$C$103:$C$108</c:f>
              <c:numCache>
                <c:formatCode>#,##0</c:formatCode>
                <c:ptCount val="6"/>
                <c:pt idx="0">
                  <c:v>-191.18771018702026</c:v>
                </c:pt>
                <c:pt idx="1">
                  <c:v>-237.92248378829188</c:v>
                </c:pt>
                <c:pt idx="2">
                  <c:v>-288.90587317149721</c:v>
                </c:pt>
                <c:pt idx="3">
                  <c:v>-47.978712725185382</c:v>
                </c:pt>
                <c:pt idx="4">
                  <c:v>-404.88898400367736</c:v>
                </c:pt>
                <c:pt idx="5">
                  <c:v>-502.60714698815434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5D-45BE-907E-566FBB45D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4-4528-8647-5FD38A8BE3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5E-4A9D-97D0-A19DFCE54D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29-401B-88B9-3AD6CF9E1B0E}"/>
              </c:ext>
            </c:extLst>
          </c:dPt>
          <c:cat>
            <c:strRef>
              <c:f>'Preliminary results'!$B$119:$B$124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results'!$C$119:$C$124</c:f>
              <c:numCache>
                <c:formatCode>#,##0</c:formatCode>
                <c:ptCount val="6"/>
                <c:pt idx="0">
                  <c:v>-123.20985767607969</c:v>
                </c:pt>
                <c:pt idx="1">
                  <c:v>-152.95016814961622</c:v>
                </c:pt>
                <c:pt idx="2">
                  <c:v>-186.93909440508645</c:v>
                </c:pt>
                <c:pt idx="3">
                  <c:v>-28.787227635111233</c:v>
                </c:pt>
                <c:pt idx="4">
                  <c:v>-270.85801049486099</c:v>
                </c:pt>
                <c:pt idx="5">
                  <c:v>-334.58724722386773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34-4528-8647-5FD38A8B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9-43F1-8D9F-673A368AC7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DCD-4C5D-A130-A9E20DBC6D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C4-4030-AEB5-DA8174F544E8}"/>
              </c:ext>
            </c:extLst>
          </c:dPt>
          <c:cat>
            <c:strRef>
              <c:f>'Preliminary results'!$B$132:$B$137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results'!$C$132:$C$137</c:f>
              <c:numCache>
                <c:formatCode>#,##0</c:formatCode>
                <c:ptCount val="6"/>
                <c:pt idx="0">
                  <c:v>-191.18771018702026</c:v>
                </c:pt>
                <c:pt idx="1">
                  <c:v>-237.92248378829188</c:v>
                </c:pt>
                <c:pt idx="2">
                  <c:v>-288.90587317149721</c:v>
                </c:pt>
                <c:pt idx="3">
                  <c:v>-47.978712725185382</c:v>
                </c:pt>
                <c:pt idx="4">
                  <c:v>-404.88898400367736</c:v>
                </c:pt>
                <c:pt idx="5">
                  <c:v>-502.60714698815434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9-43F1-8D9F-673A368A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6C08-4191-AFFD-AE67B616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8854152"/>
        <c:axId val="838854480"/>
      </c:barChart>
      <c:catAx>
        <c:axId val="83885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854480"/>
        <c:crosses val="autoZero"/>
        <c:auto val="1"/>
        <c:lblAlgn val="ctr"/>
        <c:lblOffset val="100"/>
        <c:noMultiLvlLbl val="0"/>
      </c:catAx>
      <c:valAx>
        <c:axId val="838854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885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3D-4A52-92B7-525E321E1329}"/>
              </c:ext>
            </c:extLst>
          </c:dPt>
          <c:cat>
            <c:strRef>
              <c:f>'Preliminary results'!$B$74:$B$79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results'!$C$74:$C$79</c:f>
              <c:numCache>
                <c:formatCode>#,##0</c:formatCode>
                <c:ptCount val="6"/>
                <c:pt idx="0">
                  <c:v>-191.18771018702026</c:v>
                </c:pt>
                <c:pt idx="1">
                  <c:v>-237.92248378829188</c:v>
                </c:pt>
                <c:pt idx="2">
                  <c:v>-288.90587317149721</c:v>
                </c:pt>
                <c:pt idx="3">
                  <c:v>-47.978712725185382</c:v>
                </c:pt>
                <c:pt idx="4">
                  <c:v>-404.88898400367736</c:v>
                </c:pt>
                <c:pt idx="5">
                  <c:v>-502.60714698815434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5-4655-A750-A1862B4A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59-4B6C-930D-B264BC0D8196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5E-41C1-B37A-91217A169AF4}"/>
              </c:ext>
            </c:extLst>
          </c:dPt>
          <c:cat>
            <c:strRef>
              <c:f>'Preliminary results'!$B$61:$B$66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results'!$C$61:$C$66</c:f>
              <c:numCache>
                <c:formatCode>#,##0</c:formatCode>
                <c:ptCount val="6"/>
                <c:pt idx="0">
                  <c:v>-123.20985767607969</c:v>
                </c:pt>
                <c:pt idx="1">
                  <c:v>-152.95016814961622</c:v>
                </c:pt>
                <c:pt idx="2">
                  <c:v>-186.93909440508645</c:v>
                </c:pt>
                <c:pt idx="3">
                  <c:v>-28.787227635111233</c:v>
                </c:pt>
                <c:pt idx="4">
                  <c:v>-270.85801049486099</c:v>
                </c:pt>
                <c:pt idx="5">
                  <c:v>-334.58724722386773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8-41BE-9176-A39BAE652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200"/>
          <c:min val="-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Mid-point of the cost ranges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2D2-46BC-AE33-A76CD2344536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25-4DF0-A838-8CEC0413488F}"/>
              </c:ext>
            </c:extLst>
          </c:dPt>
          <c:cat>
            <c:strRef>
              <c:f>'Preliminary results'!$B$46:$B$51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results'!$C$46:$C$51</c:f>
              <c:numCache>
                <c:formatCode>#,##0</c:formatCode>
                <c:ptCount val="6"/>
                <c:pt idx="0">
                  <c:v>-157.19878393154997</c:v>
                </c:pt>
                <c:pt idx="1">
                  <c:v>-195.43632596895407</c:v>
                </c:pt>
                <c:pt idx="2">
                  <c:v>-237.92248378829183</c:v>
                </c:pt>
                <c:pt idx="3">
                  <c:v>-38.382970180148305</c:v>
                </c:pt>
                <c:pt idx="4">
                  <c:v>-337.87349724926918</c:v>
                </c:pt>
                <c:pt idx="5">
                  <c:v>-418.59719710601104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2-46BC-AE33-A76CD234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in val="-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High-end of the cost ranges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1-4203-BEA6-6075E786AFBE}"/>
              </c:ext>
            </c:extLst>
          </c:dPt>
          <c:cat>
            <c:strRef>
              <c:f>'Preliminary results'!$B$31:$B$36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results'!$C$31:$C$36</c:f>
              <c:numCache>
                <c:formatCode>#,##0</c:formatCode>
                <c:ptCount val="6"/>
                <c:pt idx="0">
                  <c:v>-191.18771018702026</c:v>
                </c:pt>
                <c:pt idx="1">
                  <c:v>-237.92248378829188</c:v>
                </c:pt>
                <c:pt idx="2">
                  <c:v>-288.90587317149721</c:v>
                </c:pt>
                <c:pt idx="3">
                  <c:v>-47.978712725185382</c:v>
                </c:pt>
                <c:pt idx="4">
                  <c:v>-404.88898400367736</c:v>
                </c:pt>
                <c:pt idx="5">
                  <c:v>-502.60714698815434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9-493D-B849-E34D050D3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100"/>
          <c:min val="-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Low-end of the cost ranges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5-446A-A9DC-A848FB2C2A42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A5-446A-A9DC-A848FB2C2A42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/>
              </a:solidFill>
              <a:ln>
                <a:solidFill>
                  <a:srgbClr val="00239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A5-446A-A9DC-A848FB2C2A4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solidFill>
                  <a:srgbClr val="00239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5-446A-A9DC-A848FB2C2A4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>
                <a:solidFill>
                  <a:srgbClr val="00239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A5-446A-A9DC-A848FB2C2A42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solidFill>
                  <a:srgbClr val="00239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F0-4990-BAE6-569FEEFC4266}"/>
              </c:ext>
            </c:extLst>
          </c:dPt>
          <c:cat>
            <c:strRef>
              <c:f>'Preliminary results'!$B$16:$B$21</c:f>
              <c:strCache>
                <c:ptCount val="6"/>
                <c:pt idx="0">
                  <c:v>1A</c:v>
                </c:pt>
                <c:pt idx="1">
                  <c:v>1B</c:v>
                </c:pt>
                <c:pt idx="2">
                  <c:v>2</c:v>
                </c:pt>
                <c:pt idx="3">
                  <c:v>3</c:v>
                </c:pt>
                <c:pt idx="4">
                  <c:v>1A + Battery</c:v>
                </c:pt>
                <c:pt idx="5">
                  <c:v>2 + Battery</c:v>
                </c:pt>
              </c:strCache>
            </c:strRef>
          </c:cat>
          <c:val>
            <c:numRef>
              <c:f>'Preliminary results'!$C$16:$C$21</c:f>
              <c:numCache>
                <c:formatCode>#,##0</c:formatCode>
                <c:ptCount val="6"/>
                <c:pt idx="0">
                  <c:v>-123.20985767607969</c:v>
                </c:pt>
                <c:pt idx="1">
                  <c:v>-152.95016814961622</c:v>
                </c:pt>
                <c:pt idx="2">
                  <c:v>-186.93909440508645</c:v>
                </c:pt>
                <c:pt idx="3">
                  <c:v>-28.787227635111233</c:v>
                </c:pt>
                <c:pt idx="4">
                  <c:v>-270.85801049486099</c:v>
                </c:pt>
                <c:pt idx="5">
                  <c:v>-334.58724722386773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A5-446A-A9DC-A848FB2C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241656"/>
        <c:axId val="758252480"/>
      </c:barChart>
      <c:catAx>
        <c:axId val="7582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52480"/>
        <c:crosses val="autoZero"/>
        <c:auto val="1"/>
        <c:lblAlgn val="ctr"/>
        <c:lblOffset val="100"/>
        <c:noMultiLvlLbl val="0"/>
      </c:catAx>
      <c:valAx>
        <c:axId val="758252480"/>
        <c:scaling>
          <c:orientation val="minMax"/>
          <c:max val="100"/>
          <c:min val="-3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NPV, 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241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tables'!$B$61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tables'!$C$61:$AB$61</c:f>
              <c:numCache>
                <c:formatCode>#,##0</c:formatCode>
                <c:ptCount val="26"/>
                <c:pt idx="0">
                  <c:v>0</c:v>
                </c:pt>
                <c:pt idx="1">
                  <c:v>287.10366117954254</c:v>
                </c:pt>
                <c:pt idx="2">
                  <c:v>-1709623.100628607</c:v>
                </c:pt>
                <c:pt idx="3">
                  <c:v>-2751110.5745691583</c:v>
                </c:pt>
                <c:pt idx="4">
                  <c:v>-3897353.4402816221</c:v>
                </c:pt>
                <c:pt idx="5">
                  <c:v>-3897603.4275623607</c:v>
                </c:pt>
                <c:pt idx="6">
                  <c:v>-4121130.116483693</c:v>
                </c:pt>
                <c:pt idx="7">
                  <c:v>-4121411.0952415075</c:v>
                </c:pt>
                <c:pt idx="8">
                  <c:v>-4121707.7775481613</c:v>
                </c:pt>
                <c:pt idx="9">
                  <c:v>-4122021.9268342187</c:v>
                </c:pt>
                <c:pt idx="10">
                  <c:v>-2768034.8384397598</c:v>
                </c:pt>
                <c:pt idx="11">
                  <c:v>-2768388.0070178881</c:v>
                </c:pt>
                <c:pt idx="12">
                  <c:v>-2768761.1973242182</c:v>
                </c:pt>
                <c:pt idx="13">
                  <c:v>-2769156.3437781222</c:v>
                </c:pt>
                <c:pt idx="14">
                  <c:v>-2769574.5914356434</c:v>
                </c:pt>
                <c:pt idx="15">
                  <c:v>-2837151.0728682564</c:v>
                </c:pt>
                <c:pt idx="16">
                  <c:v>-2817251.9427019209</c:v>
                </c:pt>
                <c:pt idx="17">
                  <c:v>-1967336.2539901286</c:v>
                </c:pt>
                <c:pt idx="18">
                  <c:v>-1967862.1031135335</c:v>
                </c:pt>
                <c:pt idx="19">
                  <c:v>-1771088.5082203955</c:v>
                </c:pt>
                <c:pt idx="20">
                  <c:v>-1771677.8277828929</c:v>
                </c:pt>
                <c:pt idx="21">
                  <c:v>-1772302.2013829784</c:v>
                </c:pt>
                <c:pt idx="22">
                  <c:v>-1740541.0297059775</c:v>
                </c:pt>
                <c:pt idx="23">
                  <c:v>-1018105.9766454254</c:v>
                </c:pt>
                <c:pt idx="24">
                  <c:v>-1018847.0531698038</c:v>
                </c:pt>
                <c:pt idx="25">
                  <c:v>-1019631.4331903235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CAC-BDE2-99D24A3F2D43}"/>
            </c:ext>
          </c:extLst>
        </c:ser>
        <c:ser>
          <c:idx val="1"/>
          <c:order val="1"/>
          <c:tx>
            <c:strRef>
              <c:f>'Chart tables'!$B$62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tables'!$C$62:$AB$62</c:f>
              <c:numCache>
                <c:formatCode>#,##0</c:formatCode>
                <c:ptCount val="26"/>
                <c:pt idx="0">
                  <c:v>0</c:v>
                </c:pt>
                <c:pt idx="1">
                  <c:v>-342.10222098561167</c:v>
                </c:pt>
                <c:pt idx="2">
                  <c:v>-1788.8691308442021</c:v>
                </c:pt>
                <c:pt idx="3">
                  <c:v>-1974.5896253260464</c:v>
                </c:pt>
                <c:pt idx="4">
                  <c:v>-2031.4736366772527</c:v>
                </c:pt>
                <c:pt idx="5">
                  <c:v>-2271.3737987438476</c:v>
                </c:pt>
                <c:pt idx="6">
                  <c:v>-2779.4365250570036</c:v>
                </c:pt>
                <c:pt idx="7">
                  <c:v>-2971.974526976679</c:v>
                </c:pt>
                <c:pt idx="8">
                  <c:v>-3351.677245526857</c:v>
                </c:pt>
                <c:pt idx="9">
                  <c:v>-4084.0521648355498</c:v>
                </c:pt>
                <c:pt idx="10">
                  <c:v>-4442.6173821408684</c:v>
                </c:pt>
                <c:pt idx="11">
                  <c:v>-4581.9997108026191</c:v>
                </c:pt>
                <c:pt idx="12">
                  <c:v>-6223.4920641470217</c:v>
                </c:pt>
                <c:pt idx="13">
                  <c:v>-6400.9946221941673</c:v>
                </c:pt>
                <c:pt idx="14">
                  <c:v>4212858.0839352822</c:v>
                </c:pt>
                <c:pt idx="15">
                  <c:v>-1430063.2155654812</c:v>
                </c:pt>
                <c:pt idx="16">
                  <c:v>-1430389.4743755986</c:v>
                </c:pt>
                <c:pt idx="17">
                  <c:v>6988017.8456925228</c:v>
                </c:pt>
                <c:pt idx="18">
                  <c:v>13818418.179239161</c:v>
                </c:pt>
                <c:pt idx="19">
                  <c:v>12454346.868057815</c:v>
                </c:pt>
                <c:pt idx="20">
                  <c:v>12454250.333637759</c:v>
                </c:pt>
                <c:pt idx="21">
                  <c:v>-519406.39448903501</c:v>
                </c:pt>
                <c:pt idx="22">
                  <c:v>2183283.7015680522</c:v>
                </c:pt>
                <c:pt idx="23">
                  <c:v>2827823.1856906302</c:v>
                </c:pt>
                <c:pt idx="24">
                  <c:v>-943344.09232760593</c:v>
                </c:pt>
                <c:pt idx="25">
                  <c:v>-908836.54512789659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CAC-BDE2-99D24A3F2D43}"/>
            </c:ext>
          </c:extLst>
        </c:ser>
        <c:ser>
          <c:idx val="2"/>
          <c:order val="2"/>
          <c:tx>
            <c:strRef>
              <c:f>'Chart tables'!$B$63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tables'!$C$63:$AB$63</c:f>
              <c:numCache>
                <c:formatCode>#,##0</c:formatCode>
                <c:ptCount val="26"/>
                <c:pt idx="0">
                  <c:v>0</c:v>
                </c:pt>
                <c:pt idx="1">
                  <c:v>-5346.3241324424744</c:v>
                </c:pt>
                <c:pt idx="2">
                  <c:v>-527802.59118366241</c:v>
                </c:pt>
                <c:pt idx="3">
                  <c:v>-1081260.5236520767</c:v>
                </c:pt>
                <c:pt idx="4">
                  <c:v>6435491.6606311798</c:v>
                </c:pt>
                <c:pt idx="5">
                  <c:v>24041456.543666363</c:v>
                </c:pt>
                <c:pt idx="6">
                  <c:v>42677197.554641247</c:v>
                </c:pt>
                <c:pt idx="7">
                  <c:v>64678697.739070415</c:v>
                </c:pt>
                <c:pt idx="8">
                  <c:v>73640778.580449581</c:v>
                </c:pt>
                <c:pt idx="9">
                  <c:v>81775851.899682522</c:v>
                </c:pt>
                <c:pt idx="10">
                  <c:v>88292359.48187542</c:v>
                </c:pt>
                <c:pt idx="11">
                  <c:v>95963507.39525795</c:v>
                </c:pt>
                <c:pt idx="12">
                  <c:v>105561192.68849277</c:v>
                </c:pt>
                <c:pt idx="13">
                  <c:v>114241948.77755165</c:v>
                </c:pt>
                <c:pt idx="14">
                  <c:v>115893703.40709686</c:v>
                </c:pt>
                <c:pt idx="15">
                  <c:v>114771487.28499031</c:v>
                </c:pt>
                <c:pt idx="16">
                  <c:v>114544826.06268406</c:v>
                </c:pt>
                <c:pt idx="17">
                  <c:v>114131586.0504148</c:v>
                </c:pt>
                <c:pt idx="18">
                  <c:v>109974755.3643539</c:v>
                </c:pt>
                <c:pt idx="19">
                  <c:v>107390815.99775124</c:v>
                </c:pt>
                <c:pt idx="20">
                  <c:v>106589455.36063099</c:v>
                </c:pt>
                <c:pt idx="21">
                  <c:v>111244328.20891714</c:v>
                </c:pt>
                <c:pt idx="22">
                  <c:v>106581499.12453246</c:v>
                </c:pt>
                <c:pt idx="23">
                  <c:v>100570659.32083321</c:v>
                </c:pt>
                <c:pt idx="24">
                  <c:v>97992019.859067917</c:v>
                </c:pt>
                <c:pt idx="25">
                  <c:v>93378118.848692656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D-4CAC-BDE2-99D24A3F2D43}"/>
            </c:ext>
          </c:extLst>
        </c:ser>
        <c:ser>
          <c:idx val="3"/>
          <c:order val="3"/>
          <c:tx>
            <c:strRef>
              <c:f>'Chart tables'!$B$64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tables'!$C$64:$AB$64</c:f>
              <c:numCache>
                <c:formatCode>#,##0</c:formatCode>
                <c:ptCount val="26"/>
                <c:pt idx="0">
                  <c:v>0</c:v>
                </c:pt>
                <c:pt idx="1">
                  <c:v>-752.87126299343072</c:v>
                </c:pt>
                <c:pt idx="2" formatCode="#,##0.00">
                  <c:v>-94693.734943931224</c:v>
                </c:pt>
                <c:pt idx="3" formatCode="#,##0.00">
                  <c:v>-97588.310262578772</c:v>
                </c:pt>
                <c:pt idx="4" formatCode="#,##0.00">
                  <c:v>-104977.33470720914</c:v>
                </c:pt>
                <c:pt idx="5" formatCode="#,##0.00">
                  <c:v>-105918.28147944971</c:v>
                </c:pt>
                <c:pt idx="6" formatCode="#,##0.00">
                  <c:v>-108951.35890947946</c:v>
                </c:pt>
                <c:pt idx="7" formatCode="#,##0.00">
                  <c:v>-110011.92014784517</c:v>
                </c:pt>
                <c:pt idx="8" formatCode="#,##0.00">
                  <c:v>-111130.42206729201</c:v>
                </c:pt>
                <c:pt idx="9" formatCode="#,##0.00">
                  <c:v>-112321.38460054433</c:v>
                </c:pt>
                <c:pt idx="10" formatCode="#,##0.00">
                  <c:v>-113601.67379394708</c:v>
                </c:pt>
                <c:pt idx="11" formatCode="#,##0.00">
                  <c:v>-89668.796070175405</c:v>
                </c:pt>
                <c:pt idx="12" formatCode="#,##0.00">
                  <c:v>-92533.62321448249</c:v>
                </c:pt>
                <c:pt idx="13" formatCode="#,##0.00">
                  <c:v>40800.289675405787</c:v>
                </c:pt>
                <c:pt idx="14" formatCode="#,##0.00">
                  <c:v>-39109.49078133695</c:v>
                </c:pt>
                <c:pt idx="15" formatCode="#,##0.00">
                  <c:v>-28182.862881201247</c:v>
                </c:pt>
                <c:pt idx="16" formatCode="#,##0.00">
                  <c:v>-271289.0264332564</c:v>
                </c:pt>
                <c:pt idx="17" formatCode="#,##0.00">
                  <c:v>68874.499239723256</c:v>
                </c:pt>
                <c:pt idx="18" formatCode="#,##0.00">
                  <c:v>66710.789545312902</c:v>
                </c:pt>
                <c:pt idx="19" formatCode="#,##0.00">
                  <c:v>65668.972571917257</c:v>
                </c:pt>
                <c:pt idx="20" formatCode="#,##0.00">
                  <c:v>63300.655280554296</c:v>
                </c:pt>
                <c:pt idx="21" formatCode="#,##0.00">
                  <c:v>-289697.88335842488</c:v>
                </c:pt>
                <c:pt idx="22" formatCode="#,##0.00">
                  <c:v>-295951.8273660097</c:v>
                </c:pt>
                <c:pt idx="23" formatCode="#,##0.00">
                  <c:v>-316906.23313913157</c:v>
                </c:pt>
                <c:pt idx="24" formatCode="#,##0.00">
                  <c:v>-2248688.7941961256</c:v>
                </c:pt>
                <c:pt idx="25" formatCode="#,##0.00">
                  <c:v>-2378702.4175415807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D-4CAC-BDE2-99D24A3F2D43}"/>
            </c:ext>
          </c:extLst>
        </c:ser>
        <c:ser>
          <c:idx val="4"/>
          <c:order val="4"/>
          <c:tx>
            <c:strRef>
              <c:f>'Chart tables'!$B$65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tables'!$C$65:$AB$65</c:f>
              <c:numCache>
                <c:formatCode>#,##0</c:formatCode>
                <c:ptCount val="26"/>
                <c:pt idx="0">
                  <c:v>0</c:v>
                </c:pt>
                <c:pt idx="1">
                  <c:v>-20455.279480934143</c:v>
                </c:pt>
                <c:pt idx="2">
                  <c:v>12891756.81038332</c:v>
                </c:pt>
                <c:pt idx="3">
                  <c:v>12808668.620996475</c:v>
                </c:pt>
                <c:pt idx="4">
                  <c:v>13428834.706938148</c:v>
                </c:pt>
                <c:pt idx="5">
                  <c:v>12570039.29810369</c:v>
                </c:pt>
                <c:pt idx="6">
                  <c:v>9478688.8465793133</c:v>
                </c:pt>
                <c:pt idx="7">
                  <c:v>-23537055.447014809</c:v>
                </c:pt>
                <c:pt idx="8">
                  <c:v>-29250793.235813141</c:v>
                </c:pt>
                <c:pt idx="9">
                  <c:v>-20961269.634269953</c:v>
                </c:pt>
                <c:pt idx="10">
                  <c:v>-28557141.037760973</c:v>
                </c:pt>
                <c:pt idx="11">
                  <c:v>-26383656.698949695</c:v>
                </c:pt>
                <c:pt idx="12">
                  <c:v>40001138.35149014</c:v>
                </c:pt>
                <c:pt idx="13">
                  <c:v>47050106.462836385</c:v>
                </c:pt>
                <c:pt idx="14">
                  <c:v>96143255.071787238</c:v>
                </c:pt>
                <c:pt idx="15">
                  <c:v>126137515.23646963</c:v>
                </c:pt>
                <c:pt idx="16">
                  <c:v>128640941.69731557</c:v>
                </c:pt>
                <c:pt idx="17">
                  <c:v>96251960.981714606</c:v>
                </c:pt>
                <c:pt idx="18">
                  <c:v>82778841.488117099</c:v>
                </c:pt>
                <c:pt idx="19">
                  <c:v>72217912.912088752</c:v>
                </c:pt>
                <c:pt idx="20">
                  <c:v>72968008.073505044</c:v>
                </c:pt>
                <c:pt idx="21">
                  <c:v>65137462.735492826</c:v>
                </c:pt>
                <c:pt idx="22">
                  <c:v>94136048.69273293</c:v>
                </c:pt>
                <c:pt idx="23">
                  <c:v>89220935.376860738</c:v>
                </c:pt>
                <c:pt idx="24">
                  <c:v>89404020.636615634</c:v>
                </c:pt>
                <c:pt idx="25">
                  <c:v>90956752.623798966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D-4CAC-BDE2-99D24A3F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700000000"/>
          <c:min val="-1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'Chart tables'!$D$36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tables'!$D$37:$D$42</c:f>
              <c:numCache>
                <c:formatCode>#,##0.00</c:formatCode>
                <c:ptCount val="6"/>
                <c:pt idx="0">
                  <c:v>-146.82486483058929</c:v>
                </c:pt>
                <c:pt idx="1">
                  <c:v>-210.72314840101808</c:v>
                </c:pt>
                <c:pt idx="2">
                  <c:v>-273.20917512823519</c:v>
                </c:pt>
                <c:pt idx="3">
                  <c:v>-37.359125191602097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3-4A52-93D5-BB6883CD6A4E}"/>
            </c:ext>
          </c:extLst>
        </c:ser>
        <c:ser>
          <c:idx val="2"/>
          <c:order val="2"/>
          <c:tx>
            <c:strRef>
              <c:f>'Chart tables'!$E$36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tables'!$E$37:$E$42</c:f>
              <c:numCache>
                <c:formatCode>#,##0.00</c:formatCode>
                <c:ptCount val="6"/>
                <c:pt idx="0">
                  <c:v>-20.378268720397383</c:v>
                </c:pt>
                <c:pt idx="1">
                  <c:v>-29.263580200381078</c:v>
                </c:pt>
                <c:pt idx="2">
                  <c:v>-37.955732735147741</c:v>
                </c:pt>
                <c:pt idx="3">
                  <c:v>-5.2265185098549329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3-4A52-93D5-BB6883CD6A4E}"/>
            </c:ext>
          </c:extLst>
        </c:ser>
        <c:ser>
          <c:idx val="3"/>
          <c:order val="3"/>
          <c:tx>
            <c:strRef>
              <c:f>'Chart tables'!$F$36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tables'!$F$37:$F$42</c:f>
              <c:numCache>
                <c:formatCode>#,##0.00</c:formatCode>
                <c:ptCount val="6"/>
                <c:pt idx="0">
                  <c:v>-2.0224902005950223</c:v>
                </c:pt>
                <c:pt idx="1">
                  <c:v>-2.0224902005950223</c:v>
                </c:pt>
                <c:pt idx="2">
                  <c:v>-2.0336721564419946</c:v>
                </c:pt>
                <c:pt idx="3">
                  <c:v>-0.29917152631100669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23-4A52-93D5-BB6883CD6A4E}"/>
            </c:ext>
          </c:extLst>
        </c:ser>
        <c:ser>
          <c:idx val="4"/>
          <c:order val="4"/>
          <c:tx>
            <c:strRef>
              <c:f>'Chart tables'!$G$36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tables'!$G$37:$G$42</c:f>
              <c:numCache>
                <c:formatCode>#,##0.00</c:formatCode>
                <c:ptCount val="6"/>
                <c:pt idx="0">
                  <c:v>0.70934997862462756</c:v>
                </c:pt>
                <c:pt idx="1">
                  <c:v>0.70934997862462756</c:v>
                </c:pt>
                <c:pt idx="2">
                  <c:v>0.68539442520001492</c:v>
                </c:pt>
                <c:pt idx="3">
                  <c:v>-2.6071241564803824E-2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23-4A52-93D5-BB6883CD6A4E}"/>
            </c:ext>
          </c:extLst>
        </c:ser>
        <c:ser>
          <c:idx val="5"/>
          <c:order val="5"/>
          <c:tx>
            <c:strRef>
              <c:f>'Chart tables'!$H$36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tables'!$H$37:$H$42</c:f>
              <c:numCache>
                <c:formatCode>#,##0.00</c:formatCode>
                <c:ptCount val="6"/>
                <c:pt idx="0">
                  <c:v>63.787062477782349</c:v>
                </c:pt>
                <c:pt idx="1">
                  <c:v>63.787062477782349</c:v>
                </c:pt>
                <c:pt idx="2">
                  <c:v>71.165869688915024</c:v>
                </c:pt>
                <c:pt idx="3">
                  <c:v>11.657850114578256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23-4A52-93D5-BB6883CD6A4E}"/>
            </c:ext>
          </c:extLst>
        </c:ser>
        <c:ser>
          <c:idx val="6"/>
          <c:order val="6"/>
          <c:tx>
            <c:strRef>
              <c:f>'Chart tables'!$I$36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tables'!$I$37:$I$42</c:f>
              <c:numCache>
                <c:formatCode>#,##0.00</c:formatCode>
                <c:ptCount val="6"/>
                <c:pt idx="0">
                  <c:v>-0.62144569245729531</c:v>
                </c:pt>
                <c:pt idx="1">
                  <c:v>-0.62144569245729531</c:v>
                </c:pt>
                <c:pt idx="2">
                  <c:v>-0.66250427421579627</c:v>
                </c:pt>
                <c:pt idx="3">
                  <c:v>-0.24811569626329882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23-4A52-93D5-BB6883CD6A4E}"/>
            </c:ext>
          </c:extLst>
        </c:ser>
        <c:ser>
          <c:idx val="7"/>
          <c:order val="7"/>
          <c:tx>
            <c:strRef>
              <c:f>'Chart tables'!$J$36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tables'!$J$37:$J$42</c:f>
              <c:numCache>
                <c:formatCode>#,##0.00</c:formatCode>
                <c:ptCount val="6"/>
                <c:pt idx="0">
                  <c:v>39.8759196820575</c:v>
                </c:pt>
                <c:pt idx="1">
                  <c:v>39.8759196820575</c:v>
                </c:pt>
                <c:pt idx="2">
                  <c:v>41.003794994103195</c:v>
                </c:pt>
                <c:pt idx="3">
                  <c:v>14.593130541473903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23-4A52-93D5-BB6883CD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'Chart tables'!$C$36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'Chart tables'!$B$37:$B$42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'Chart tables'!$C$37:$C$42</c:f>
              <c:numCache>
                <c:formatCode>#,##0.00</c:formatCode>
                <c:ptCount val="6"/>
                <c:pt idx="0">
                  <c:v>-65.47473730557455</c:v>
                </c:pt>
                <c:pt idx="1">
                  <c:v>-138.25833235598708</c:v>
                </c:pt>
                <c:pt idx="2">
                  <c:v>-201.00602518582241</c:v>
                </c:pt>
                <c:pt idx="3">
                  <c:v>-16.908021509543975</c:v>
                </c:pt>
                <c:pt idx="4">
                  <c:v>-165.26075073194494</c:v>
                </c:pt>
                <c:pt idx="5">
                  <c:v>-46.536759460817883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23-4A52-93D5-BB6883CD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36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9-4C4F-B847-DE42F3BCA5F1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tables'!$C$13:$C$18</c:f>
              <c:numCache>
                <c:formatCode>#,##0</c:formatCode>
                <c:ptCount val="6"/>
                <c:pt idx="0">
                  <c:v>-65.47473730557455</c:v>
                </c:pt>
                <c:pt idx="1">
                  <c:v>-138.25833235598708</c:v>
                </c:pt>
                <c:pt idx="2">
                  <c:v>-201.00602518582241</c:v>
                </c:pt>
                <c:pt idx="3">
                  <c:v>-16.908021509543975</c:v>
                </c:pt>
                <c:pt idx="4">
                  <c:v>-165.26075073194494</c:v>
                </c:pt>
                <c:pt idx="5">
                  <c:v>-46.536759460817883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F99-958A-0949601D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tables'!$B$134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tables'!$C$134:$AB$134</c:f>
              <c:numCache>
                <c:formatCode>#,##0</c:formatCode>
                <c:ptCount val="26"/>
                <c:pt idx="0">
                  <c:v>0</c:v>
                </c:pt>
                <c:pt idx="1">
                  <c:v>-208703.36287954357</c:v>
                </c:pt>
                <c:pt idx="2">
                  <c:v>-208803.65085878491</c:v>
                </c:pt>
                <c:pt idx="3">
                  <c:v>-582327.83940266713</c:v>
                </c:pt>
                <c:pt idx="4">
                  <c:v>-13857555.996042794</c:v>
                </c:pt>
                <c:pt idx="5">
                  <c:v>-13857674.901475314</c:v>
                </c:pt>
                <c:pt idx="6">
                  <c:v>-13857800.759031599</c:v>
                </c:pt>
                <c:pt idx="7">
                  <c:v>-13857934.433954734</c:v>
                </c:pt>
                <c:pt idx="8">
                  <c:v>-13858075.453101482</c:v>
                </c:pt>
                <c:pt idx="9">
                  <c:v>-13858224.783514861</c:v>
                </c:pt>
                <c:pt idx="10">
                  <c:v>-13858382.7616584</c:v>
                </c:pt>
                <c:pt idx="11">
                  <c:v>-13858550.739701759</c:v>
                </c:pt>
                <c:pt idx="12">
                  <c:v>-13858727.904076772</c:v>
                </c:pt>
                <c:pt idx="13">
                  <c:v>-13858915.721563037</c:v>
                </c:pt>
                <c:pt idx="14">
                  <c:v>-13859114.617979558</c:v>
                </c:pt>
                <c:pt idx="15">
                  <c:v>-13859325.885563618</c:v>
                </c:pt>
                <c:pt idx="16">
                  <c:v>-13859549.180103557</c:v>
                </c:pt>
                <c:pt idx="17">
                  <c:v>-13859785.426583475</c:v>
                </c:pt>
                <c:pt idx="18">
                  <c:v>-13860035.383488413</c:v>
                </c:pt>
                <c:pt idx="19">
                  <c:v>-13860301.082996193</c:v>
                </c:pt>
                <c:pt idx="20">
                  <c:v>-13860582.105243362</c:v>
                </c:pt>
                <c:pt idx="21">
                  <c:v>-13860878.453887139</c:v>
                </c:pt>
                <c:pt idx="22">
                  <c:v>-13861192.767925287</c:v>
                </c:pt>
                <c:pt idx="23">
                  <c:v>-13861526.571685774</c:v>
                </c:pt>
                <c:pt idx="24">
                  <c:v>-13861877.597058687</c:v>
                </c:pt>
                <c:pt idx="25">
                  <c:v>-13862249.049061453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B7-4BC0-9610-10C23D6E4E41}"/>
            </c:ext>
          </c:extLst>
        </c:ser>
        <c:ser>
          <c:idx val="1"/>
          <c:order val="1"/>
          <c:tx>
            <c:strRef>
              <c:f>'Chart tables'!$B$135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tables'!$C$135:$AB$135</c:f>
              <c:numCache>
                <c:formatCode>#,##0</c:formatCode>
                <c:ptCount val="26"/>
                <c:pt idx="0">
                  <c:v>0</c:v>
                </c:pt>
                <c:pt idx="1">
                  <c:v>-315.49146525652986</c:v>
                </c:pt>
                <c:pt idx="2">
                  <c:v>42633755.558325484</c:v>
                </c:pt>
                <c:pt idx="3">
                  <c:v>40421673.991961315</c:v>
                </c:pt>
                <c:pt idx="4">
                  <c:v>42794364.927609161</c:v>
                </c:pt>
                <c:pt idx="5">
                  <c:v>91726100.548731789</c:v>
                </c:pt>
                <c:pt idx="6">
                  <c:v>69553808.848953471</c:v>
                </c:pt>
                <c:pt idx="7">
                  <c:v>70906888.728675231</c:v>
                </c:pt>
                <c:pt idx="8">
                  <c:v>142830639.47052729</c:v>
                </c:pt>
                <c:pt idx="9">
                  <c:v>212193185.04895979</c:v>
                </c:pt>
                <c:pt idx="10">
                  <c:v>108476348.47231942</c:v>
                </c:pt>
                <c:pt idx="11">
                  <c:v>107288027.08144259</c:v>
                </c:pt>
                <c:pt idx="12">
                  <c:v>99506445.890022516</c:v>
                </c:pt>
                <c:pt idx="13">
                  <c:v>78264821.497096568</c:v>
                </c:pt>
                <c:pt idx="14">
                  <c:v>78264559.290099055</c:v>
                </c:pt>
                <c:pt idx="15">
                  <c:v>57873659.545458764</c:v>
                </c:pt>
                <c:pt idx="16">
                  <c:v>127583391.87380388</c:v>
                </c:pt>
                <c:pt idx="17">
                  <c:v>93841275.335200578</c:v>
                </c:pt>
                <c:pt idx="18">
                  <c:v>92986993.177569121</c:v>
                </c:pt>
                <c:pt idx="19">
                  <c:v>94571783.615052566</c:v>
                </c:pt>
                <c:pt idx="20">
                  <c:v>91431132.295045078</c:v>
                </c:pt>
                <c:pt idx="21">
                  <c:v>113934321.52224749</c:v>
                </c:pt>
                <c:pt idx="22">
                  <c:v>111095398.29939574</c:v>
                </c:pt>
                <c:pt idx="23">
                  <c:v>103899051.20321997</c:v>
                </c:pt>
                <c:pt idx="24">
                  <c:v>103899040.89173475</c:v>
                </c:pt>
                <c:pt idx="25">
                  <c:v>103899045.85987474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B7-4BC0-9610-10C23D6E4E41}"/>
            </c:ext>
          </c:extLst>
        </c:ser>
        <c:ser>
          <c:idx val="2"/>
          <c:order val="2"/>
          <c:tx>
            <c:strRef>
              <c:f>'Chart tables'!$B$136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tables'!$C$136:$AB$136</c:f>
              <c:numCache>
                <c:formatCode>#,##0</c:formatCode>
                <c:ptCount val="26"/>
                <c:pt idx="0">
                  <c:v>0</c:v>
                </c:pt>
                <c:pt idx="1">
                  <c:v>3513049.4910850525</c:v>
                </c:pt>
                <c:pt idx="2">
                  <c:v>7616601.5609240532</c:v>
                </c:pt>
                <c:pt idx="3">
                  <c:v>9325329.0451340675</c:v>
                </c:pt>
                <c:pt idx="4">
                  <c:v>13415582.269227982</c:v>
                </c:pt>
                <c:pt idx="5">
                  <c:v>26582154.791118145</c:v>
                </c:pt>
                <c:pt idx="6">
                  <c:v>24607344.572680473</c:v>
                </c:pt>
                <c:pt idx="7">
                  <c:v>24131470.281323433</c:v>
                </c:pt>
                <c:pt idx="8">
                  <c:v>22369817.590494394</c:v>
                </c:pt>
                <c:pt idx="9">
                  <c:v>31515420.740697145</c:v>
                </c:pt>
                <c:pt idx="10">
                  <c:v>55654229.73423481</c:v>
                </c:pt>
                <c:pt idx="11">
                  <c:v>78728663.54423058</c:v>
                </c:pt>
                <c:pt idx="12">
                  <c:v>97983337.171159267</c:v>
                </c:pt>
                <c:pt idx="13">
                  <c:v>123461897.45074105</c:v>
                </c:pt>
                <c:pt idx="14">
                  <c:v>150629491.63233423</c:v>
                </c:pt>
                <c:pt idx="15">
                  <c:v>151453522.8158412</c:v>
                </c:pt>
                <c:pt idx="16">
                  <c:v>149171834.53889537</c:v>
                </c:pt>
                <c:pt idx="17">
                  <c:v>146929115.24591351</c:v>
                </c:pt>
                <c:pt idx="18">
                  <c:v>146924787.71376574</c:v>
                </c:pt>
                <c:pt idx="19">
                  <c:v>144156086.12725937</c:v>
                </c:pt>
                <c:pt idx="20">
                  <c:v>138888726.25086057</c:v>
                </c:pt>
                <c:pt idx="21">
                  <c:v>136903250.08696222</c:v>
                </c:pt>
                <c:pt idx="22">
                  <c:v>133069923.88121438</c:v>
                </c:pt>
                <c:pt idx="23">
                  <c:v>131409942.46428764</c:v>
                </c:pt>
                <c:pt idx="24">
                  <c:v>130081521.6635763</c:v>
                </c:pt>
                <c:pt idx="25">
                  <c:v>128716056.74837768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B7-4BC0-9610-10C23D6E4E41}"/>
            </c:ext>
          </c:extLst>
        </c:ser>
        <c:ser>
          <c:idx val="3"/>
          <c:order val="3"/>
          <c:tx>
            <c:strRef>
              <c:f>'Chart tables'!$B$137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tables'!$C$137:$AB$137</c:f>
              <c:numCache>
                <c:formatCode>#,##0</c:formatCode>
                <c:ptCount val="26"/>
                <c:pt idx="0">
                  <c:v>0</c:v>
                </c:pt>
                <c:pt idx="1">
                  <c:v>-6994.990434117266</c:v>
                </c:pt>
                <c:pt idx="2" formatCode="#,##0.00">
                  <c:v>-7443.5785154632795</c:v>
                </c:pt>
                <c:pt idx="3" formatCode="#,##0.00">
                  <c:v>-19865.322727318158</c:v>
                </c:pt>
                <c:pt idx="4" formatCode="#,##0.00">
                  <c:v>-601565.12772703264</c:v>
                </c:pt>
                <c:pt idx="5" formatCode="#,##0.00">
                  <c:v>-602108.47094193986</c:v>
                </c:pt>
                <c:pt idx="6" formatCode="#,##0.00">
                  <c:v>-602671.82913915033</c:v>
                </c:pt>
                <c:pt idx="7" formatCode="#,##0.00">
                  <c:v>-603272.93690404901</c:v>
                </c:pt>
                <c:pt idx="8" formatCode="#,##0.00">
                  <c:v>-603911.69762369886</c:v>
                </c:pt>
                <c:pt idx="9" formatCode="#,##0.00">
                  <c:v>-604588.00634807791</c:v>
                </c:pt>
                <c:pt idx="10" formatCode="#,##0.00">
                  <c:v>-605309.28098369273</c:v>
                </c:pt>
                <c:pt idx="11" formatCode="#,##0.00">
                  <c:v>-606067.53181134351</c:v>
                </c:pt>
                <c:pt idx="12" formatCode="#,##0.00">
                  <c:v>-593206.0797196161</c:v>
                </c:pt>
                <c:pt idx="13" formatCode="#,##0.00">
                  <c:v>-594123.79813873768</c:v>
                </c:pt>
                <c:pt idx="14" formatCode="#,##0.00">
                  <c:v>-595071.85580699064</c:v>
                </c:pt>
                <c:pt idx="15" formatCode="#,##0.00">
                  <c:v>-209848.19651222276</c:v>
                </c:pt>
                <c:pt idx="16" formatCode="#,##0.00">
                  <c:v>139431.24305021297</c:v>
                </c:pt>
                <c:pt idx="17" formatCode="#,##0.00">
                  <c:v>-12983505.895204701</c:v>
                </c:pt>
                <c:pt idx="18" formatCode="#,##0.00">
                  <c:v>-11719337.824597767</c:v>
                </c:pt>
                <c:pt idx="19" formatCode="#,##0.00">
                  <c:v>-9836743.6432790961</c:v>
                </c:pt>
                <c:pt idx="20" formatCode="#,##0.00">
                  <c:v>-4468684.9133291151</c:v>
                </c:pt>
                <c:pt idx="21" formatCode="#,##0.00">
                  <c:v>-2712943.3697657492</c:v>
                </c:pt>
                <c:pt idx="22" formatCode="#,##0.00">
                  <c:v>4249259.7833996806</c:v>
                </c:pt>
                <c:pt idx="23" formatCode="#,##0.00">
                  <c:v>11975778.42334036</c:v>
                </c:pt>
                <c:pt idx="24" formatCode="#,##0.00">
                  <c:v>14378691.273969362</c:v>
                </c:pt>
                <c:pt idx="25" formatCode="#,##0.00">
                  <c:v>19404500.506539471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B7-4BC0-9610-10C23D6E4E41}"/>
            </c:ext>
          </c:extLst>
        </c:ser>
        <c:ser>
          <c:idx val="4"/>
          <c:order val="4"/>
          <c:tx>
            <c:strRef>
              <c:f>'Chart tables'!$B$138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tables'!$C$138:$AB$138</c:f>
              <c:numCache>
                <c:formatCode>#,##0</c:formatCode>
                <c:ptCount val="26"/>
                <c:pt idx="0">
                  <c:v>0</c:v>
                </c:pt>
                <c:pt idx="1">
                  <c:v>57667202.819020748</c:v>
                </c:pt>
                <c:pt idx="2">
                  <c:v>195563095.35496283</c:v>
                </c:pt>
                <c:pt idx="3">
                  <c:v>225700998.82223558</c:v>
                </c:pt>
                <c:pt idx="4">
                  <c:v>194409996.48307371</c:v>
                </c:pt>
                <c:pt idx="5">
                  <c:v>209548626.44375992</c:v>
                </c:pt>
                <c:pt idx="6">
                  <c:v>780640556.82296562</c:v>
                </c:pt>
                <c:pt idx="7">
                  <c:v>638523066.23822927</c:v>
                </c:pt>
                <c:pt idx="8">
                  <c:v>583599991.17330503</c:v>
                </c:pt>
                <c:pt idx="9">
                  <c:v>275843045.55943823</c:v>
                </c:pt>
                <c:pt idx="10">
                  <c:v>-226360227.35907793</c:v>
                </c:pt>
                <c:pt idx="11">
                  <c:v>-234250340.77887559</c:v>
                </c:pt>
                <c:pt idx="12">
                  <c:v>294068237.37894225</c:v>
                </c:pt>
                <c:pt idx="13">
                  <c:v>142242445.29753661</c:v>
                </c:pt>
                <c:pt idx="14">
                  <c:v>138784494.78417361</c:v>
                </c:pt>
                <c:pt idx="15">
                  <c:v>111406174.95098913</c:v>
                </c:pt>
                <c:pt idx="16">
                  <c:v>164715810.94334829</c:v>
                </c:pt>
                <c:pt idx="17">
                  <c:v>201905894.25372159</c:v>
                </c:pt>
                <c:pt idx="18">
                  <c:v>178524149.78787839</c:v>
                </c:pt>
                <c:pt idx="19">
                  <c:v>202925448.29065311</c:v>
                </c:pt>
                <c:pt idx="20">
                  <c:v>184984910.55354154</c:v>
                </c:pt>
                <c:pt idx="21">
                  <c:v>144996468.87075126</c:v>
                </c:pt>
                <c:pt idx="22">
                  <c:v>159042024.06672418</c:v>
                </c:pt>
                <c:pt idx="23">
                  <c:v>148674545.75840688</c:v>
                </c:pt>
                <c:pt idx="24">
                  <c:v>144423197.45171404</c:v>
                </c:pt>
                <c:pt idx="25">
                  <c:v>144309230.9797585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B7-4BC0-9610-10C23D6E4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7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3-4EAC-A854-830F0CED4142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tables'!$C$86:$C$91</c:f>
              <c:numCache>
                <c:formatCode>#,##0</c:formatCode>
                <c:ptCount val="6"/>
                <c:pt idx="0">
                  <c:v>158.52364086615265</c:v>
                </c:pt>
                <c:pt idx="1">
                  <c:v>85.740045815740103</c:v>
                </c:pt>
                <c:pt idx="2">
                  <c:v>37.554318315618268</c:v>
                </c:pt>
                <c:pt idx="3">
                  <c:v>8.5734748436076593</c:v>
                </c:pt>
                <c:pt idx="4">
                  <c:v>135.58379709853281</c:v>
                </c:pt>
                <c:pt idx="5">
                  <c:v>10.26158091753625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3-4F46-95C4-75F37BBE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A37-4242-95C6-B7BA12E2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5583320"/>
        <c:axId val="415579712"/>
      </c:barChart>
      <c:catAx>
        <c:axId val="41558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579712"/>
        <c:crosses val="autoZero"/>
        <c:auto val="1"/>
        <c:lblAlgn val="ctr"/>
        <c:lblOffset val="100"/>
        <c:noMultiLvlLbl val="0"/>
      </c:catAx>
      <c:valAx>
        <c:axId val="415579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583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165953758657E-2"/>
          <c:w val="0.86250276584194185"/>
          <c:h val="0.5310723384675266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 tables'!$D$109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tables'!$D$110:$D$115</c:f>
              <c:numCache>
                <c:formatCode>#,##0.00</c:formatCode>
                <c:ptCount val="6"/>
                <c:pt idx="0">
                  <c:v>-146.82486483058929</c:v>
                </c:pt>
                <c:pt idx="1">
                  <c:v>-210.72314840101808</c:v>
                </c:pt>
                <c:pt idx="2">
                  <c:v>-273.20917512823519</c:v>
                </c:pt>
                <c:pt idx="3">
                  <c:v>-37.359125191602097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2F-44CB-91BA-FED1F986B02C}"/>
            </c:ext>
          </c:extLst>
        </c:ser>
        <c:ser>
          <c:idx val="2"/>
          <c:order val="2"/>
          <c:tx>
            <c:strRef>
              <c:f>'Chart tables'!$E$109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tables'!$E$110:$E$115</c:f>
              <c:numCache>
                <c:formatCode>#,##0.00</c:formatCode>
                <c:ptCount val="6"/>
                <c:pt idx="0">
                  <c:v>-20.378268720397383</c:v>
                </c:pt>
                <c:pt idx="1">
                  <c:v>-29.263580200381078</c:v>
                </c:pt>
                <c:pt idx="2">
                  <c:v>-37.955732735147741</c:v>
                </c:pt>
                <c:pt idx="3">
                  <c:v>-5.2265185098549329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2F-44CB-91BA-FED1F986B02C}"/>
            </c:ext>
          </c:extLst>
        </c:ser>
        <c:ser>
          <c:idx val="3"/>
          <c:order val="3"/>
          <c:tx>
            <c:strRef>
              <c:f>'Chart tables'!$F$109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tables'!$F$110:$F$115</c:f>
              <c:numCache>
                <c:formatCode>#,##0.00</c:formatCode>
                <c:ptCount val="6"/>
                <c:pt idx="0">
                  <c:v>-10.451881848056018</c:v>
                </c:pt>
                <c:pt idx="1">
                  <c:v>-10.451881848056018</c:v>
                </c:pt>
                <c:pt idx="2">
                  <c:v>-10.601681408986979</c:v>
                </c:pt>
                <c:pt idx="3">
                  <c:v>-2.3292277425580137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2F-44CB-91BA-FED1F986B02C}"/>
            </c:ext>
          </c:extLst>
        </c:ser>
        <c:ser>
          <c:idx val="4"/>
          <c:order val="4"/>
          <c:tx>
            <c:strRef>
              <c:f>'Chart tables'!$G$109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tables'!$G$110:$G$115</c:f>
              <c:numCache>
                <c:formatCode>#,##0.00</c:formatCode>
                <c:ptCount val="6"/>
                <c:pt idx="0">
                  <c:v>78.844245309798609</c:v>
                </c:pt>
                <c:pt idx="1">
                  <c:v>78.844245309798609</c:v>
                </c:pt>
                <c:pt idx="2">
                  <c:v>79.316253767942925</c:v>
                </c:pt>
                <c:pt idx="3">
                  <c:v>2.1511771650750906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42F-44CB-91BA-FED1F986B02C}"/>
            </c:ext>
          </c:extLst>
        </c:ser>
        <c:ser>
          <c:idx val="5"/>
          <c:order val="5"/>
          <c:tx>
            <c:strRef>
              <c:f>'Chart tables'!$H$109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tables'!$H$110:$H$115</c:f>
              <c:numCache>
                <c:formatCode>#,##0.00</c:formatCode>
                <c:ptCount val="6"/>
                <c:pt idx="0">
                  <c:v>72.91030201621318</c:v>
                </c:pt>
                <c:pt idx="1">
                  <c:v>72.91030201621318</c:v>
                </c:pt>
                <c:pt idx="2">
                  <c:v>78.373311247207582</c:v>
                </c:pt>
                <c:pt idx="3">
                  <c:v>3.6026785646236479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2F-44CB-91BA-FED1F986B02C}"/>
            </c:ext>
          </c:extLst>
        </c:ser>
        <c:ser>
          <c:idx val="6"/>
          <c:order val="6"/>
          <c:tx>
            <c:strRef>
              <c:f>'Chart tables'!$I$109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tables'!$I$110:$I$115</c:f>
              <c:numCache>
                <c:formatCode>#,##0.00</c:formatCode>
                <c:ptCount val="6"/>
                <c:pt idx="0">
                  <c:v>3.8106142178820113</c:v>
                </c:pt>
                <c:pt idx="1">
                  <c:v>3.8106142178820113</c:v>
                </c:pt>
                <c:pt idx="2">
                  <c:v>3.9611492973020068</c:v>
                </c:pt>
                <c:pt idx="3">
                  <c:v>0.13327185089800328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2F-44CB-91BA-FED1F986B02C}"/>
            </c:ext>
          </c:extLst>
        </c:ser>
        <c:ser>
          <c:idx val="7"/>
          <c:order val="7"/>
          <c:tx>
            <c:strRef>
              <c:f>'Chart tables'!$J$109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tables'!$J$110:$J$115</c:f>
              <c:numCache>
                <c:formatCode>#,##0.00</c:formatCode>
                <c:ptCount val="6"/>
                <c:pt idx="0">
                  <c:v>180.61349472130152</c:v>
                </c:pt>
                <c:pt idx="1">
                  <c:v>180.61349472130152</c:v>
                </c:pt>
                <c:pt idx="2">
                  <c:v>197.67019327553572</c:v>
                </c:pt>
                <c:pt idx="3">
                  <c:v>47.601218707025978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2F-44CB-91BA-FED1F986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'Chart tables'!$C$109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'Chart tables'!$B$110:$B$115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'Chart tables'!$C$110:$C$115</c:f>
              <c:numCache>
                <c:formatCode>#,##0.00</c:formatCode>
                <c:ptCount val="6"/>
                <c:pt idx="0">
                  <c:v>158.52364086615265</c:v>
                </c:pt>
                <c:pt idx="1">
                  <c:v>85.740045815740103</c:v>
                </c:pt>
                <c:pt idx="2">
                  <c:v>37.554318315618268</c:v>
                </c:pt>
                <c:pt idx="3">
                  <c:v>8.5734748436076593</c:v>
                </c:pt>
                <c:pt idx="4">
                  <c:v>135.58379709853281</c:v>
                </c:pt>
                <c:pt idx="5">
                  <c:v>10.26158091753625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42F-44CB-91BA-FED1F986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595494186094762E-4"/>
          <c:y val="0.72877293778294283"/>
          <c:w val="0.99723268730020165"/>
          <c:h val="0.2430874142285434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tables'!$B$207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tables'!$C$207:$AB$207</c:f>
              <c:numCache>
                <c:formatCode>#,##0</c:formatCode>
                <c:ptCount val="26"/>
                <c:pt idx="0">
                  <c:v>0</c:v>
                </c:pt>
                <c:pt idx="1">
                  <c:v>-51.804689586162567</c:v>
                </c:pt>
                <c:pt idx="2">
                  <c:v>-32.258505581199302</c:v>
                </c:pt>
                <c:pt idx="3">
                  <c:v>-9366318.8616446834</c:v>
                </c:pt>
                <c:pt idx="4">
                  <c:v>-28764882.175841153</c:v>
                </c:pt>
                <c:pt idx="5">
                  <c:v>-28764858.919983506</c:v>
                </c:pt>
                <c:pt idx="6">
                  <c:v>-29993655.566680554</c:v>
                </c:pt>
                <c:pt idx="7">
                  <c:v>-29993629.339068238</c:v>
                </c:pt>
                <c:pt idx="8">
                  <c:v>-29993601.623299986</c:v>
                </c:pt>
                <c:pt idx="9">
                  <c:v>-29993572.185854968</c:v>
                </c:pt>
                <c:pt idx="10">
                  <c:v>-29993540.954738326</c:v>
                </c:pt>
                <c:pt idx="11">
                  <c:v>-29993507.733515523</c:v>
                </c:pt>
                <c:pt idx="12">
                  <c:v>-29993472.632762738</c:v>
                </c:pt>
                <c:pt idx="13">
                  <c:v>-29993435.419154201</c:v>
                </c:pt>
                <c:pt idx="14">
                  <c:v>-29993395.963373002</c:v>
                </c:pt>
                <c:pt idx="15">
                  <c:v>-27063607.277968749</c:v>
                </c:pt>
                <c:pt idx="16">
                  <c:v>-27063901.763266277</c:v>
                </c:pt>
                <c:pt idx="17">
                  <c:v>-27511212.176999781</c:v>
                </c:pt>
                <c:pt idx="18">
                  <c:v>-27511158.973420031</c:v>
                </c:pt>
                <c:pt idx="19">
                  <c:v>-25836330.069430042</c:v>
                </c:pt>
                <c:pt idx="20">
                  <c:v>-23809209.473138452</c:v>
                </c:pt>
                <c:pt idx="21">
                  <c:v>-26623270.03918663</c:v>
                </c:pt>
                <c:pt idx="22">
                  <c:v>-25188652.01786571</c:v>
                </c:pt>
                <c:pt idx="23">
                  <c:v>-25043561.38136014</c:v>
                </c:pt>
                <c:pt idx="24">
                  <c:v>-19851065.265183952</c:v>
                </c:pt>
                <c:pt idx="25">
                  <c:v>-20011107.395918109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F-4B49-9691-909A5DE18A35}"/>
            </c:ext>
          </c:extLst>
        </c:ser>
        <c:ser>
          <c:idx val="1"/>
          <c:order val="1"/>
          <c:tx>
            <c:strRef>
              <c:f>'Chart tables'!$B$208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tables'!$C$208:$AB$208</c:f>
              <c:numCache>
                <c:formatCode>#,##0</c:formatCode>
                <c:ptCount val="26"/>
                <c:pt idx="0">
                  <c:v>0</c:v>
                </c:pt>
                <c:pt idx="1">
                  <c:v>9.7341358440448857</c:v>
                </c:pt>
                <c:pt idx="2">
                  <c:v>130.76586077696425</c:v>
                </c:pt>
                <c:pt idx="3">
                  <c:v>169.81942556351697</c:v>
                </c:pt>
                <c:pt idx="4">
                  <c:v>145.95481030671647</c:v>
                </c:pt>
                <c:pt idx="5">
                  <c:v>128.18947750281876</c:v>
                </c:pt>
                <c:pt idx="6">
                  <c:v>118.53007051363201</c:v>
                </c:pt>
                <c:pt idx="7">
                  <c:v>131.59054740149827</c:v>
                </c:pt>
                <c:pt idx="8">
                  <c:v>-45974.401976268695</c:v>
                </c:pt>
                <c:pt idx="9">
                  <c:v>-45965.580789467167</c:v>
                </c:pt>
                <c:pt idx="10">
                  <c:v>-45987.048263314435</c:v>
                </c:pt>
                <c:pt idx="11">
                  <c:v>-46002.574326350717</c:v>
                </c:pt>
                <c:pt idx="12">
                  <c:v>-45978.471698651178</c:v>
                </c:pt>
                <c:pt idx="13">
                  <c:v>-45971.139014937384</c:v>
                </c:pt>
                <c:pt idx="14">
                  <c:v>-45986.527891370599</c:v>
                </c:pt>
                <c:pt idx="15">
                  <c:v>-45890.245813501424</c:v>
                </c:pt>
                <c:pt idx="16">
                  <c:v>-45853.62112941029</c:v>
                </c:pt>
                <c:pt idx="17">
                  <c:v>27809534.214131787</c:v>
                </c:pt>
                <c:pt idx="18">
                  <c:v>27809765.795641482</c:v>
                </c:pt>
                <c:pt idx="19">
                  <c:v>27809783.203178883</c:v>
                </c:pt>
                <c:pt idx="20">
                  <c:v>45810165.30461283</c:v>
                </c:pt>
                <c:pt idx="21">
                  <c:v>39662763.974117443</c:v>
                </c:pt>
                <c:pt idx="22">
                  <c:v>28370145.057595715</c:v>
                </c:pt>
                <c:pt idx="23">
                  <c:v>22211759.306926183</c:v>
                </c:pt>
                <c:pt idx="24">
                  <c:v>21550089.510969147</c:v>
                </c:pt>
                <c:pt idx="25">
                  <c:v>18067538.181451902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F-4B49-9691-909A5DE18A35}"/>
            </c:ext>
          </c:extLst>
        </c:ser>
        <c:ser>
          <c:idx val="2"/>
          <c:order val="2"/>
          <c:tx>
            <c:strRef>
              <c:f>'Chart tables'!$B$209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tables'!$C$209:$AB$209</c:f>
              <c:numCache>
                <c:formatCode>#,##0</c:formatCode>
                <c:ptCount val="26"/>
                <c:pt idx="0">
                  <c:v>0</c:v>
                </c:pt>
                <c:pt idx="1">
                  <c:v>726.41882944107056</c:v>
                </c:pt>
                <c:pt idx="2">
                  <c:v>1403.6231331825256</c:v>
                </c:pt>
                <c:pt idx="3">
                  <c:v>-3352894.4766249657</c:v>
                </c:pt>
                <c:pt idx="4">
                  <c:v>2445416.5197739601</c:v>
                </c:pt>
                <c:pt idx="5">
                  <c:v>15696582.368878365</c:v>
                </c:pt>
                <c:pt idx="6">
                  <c:v>36643708.50226903</c:v>
                </c:pt>
                <c:pt idx="7">
                  <c:v>57304750.575909138</c:v>
                </c:pt>
                <c:pt idx="8">
                  <c:v>80960331.182659626</c:v>
                </c:pt>
                <c:pt idx="9">
                  <c:v>97917013.815588474</c:v>
                </c:pt>
                <c:pt idx="10">
                  <c:v>116353974.17345715</c:v>
                </c:pt>
                <c:pt idx="11">
                  <c:v>138699052.51608491</c:v>
                </c:pt>
                <c:pt idx="12">
                  <c:v>161253177.1921618</c:v>
                </c:pt>
                <c:pt idx="13">
                  <c:v>182330323.89247179</c:v>
                </c:pt>
                <c:pt idx="14">
                  <c:v>202359482.28210521</c:v>
                </c:pt>
                <c:pt idx="15">
                  <c:v>213397419.18674469</c:v>
                </c:pt>
                <c:pt idx="16">
                  <c:v>227580499.48483348</c:v>
                </c:pt>
                <c:pt idx="17">
                  <c:v>233682039.28806353</c:v>
                </c:pt>
                <c:pt idx="18">
                  <c:v>240001078.13588428</c:v>
                </c:pt>
                <c:pt idx="19">
                  <c:v>230696178.19434428</c:v>
                </c:pt>
                <c:pt idx="20">
                  <c:v>227394044.36519361</c:v>
                </c:pt>
                <c:pt idx="21">
                  <c:v>225500096.94253922</c:v>
                </c:pt>
                <c:pt idx="22">
                  <c:v>236233809.94213772</c:v>
                </c:pt>
                <c:pt idx="23">
                  <c:v>245820613.78528166</c:v>
                </c:pt>
                <c:pt idx="24">
                  <c:v>257062696.72970533</c:v>
                </c:pt>
                <c:pt idx="25">
                  <c:v>279915276.58142185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F-4B49-9691-909A5DE18A35}"/>
            </c:ext>
          </c:extLst>
        </c:ser>
        <c:ser>
          <c:idx val="3"/>
          <c:order val="3"/>
          <c:tx>
            <c:strRef>
              <c:f>'Chart tables'!$B$210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tables'!$C$210:$AB$210</c:f>
              <c:numCache>
                <c:formatCode>#,##0</c:formatCode>
                <c:ptCount val="26"/>
                <c:pt idx="0">
                  <c:v>0</c:v>
                </c:pt>
                <c:pt idx="1">
                  <c:v>97.634370648884214</c:v>
                </c:pt>
                <c:pt idx="2" formatCode="#,##0.00">
                  <c:v>200.01436994451069</c:v>
                </c:pt>
                <c:pt idx="3" formatCode="#,##0.00">
                  <c:v>-22960.12234524644</c:v>
                </c:pt>
                <c:pt idx="4" formatCode="#,##0.00">
                  <c:v>-85078.481409248488</c:v>
                </c:pt>
                <c:pt idx="5" formatCode="#,##0.00">
                  <c:v>-84955.727357270007</c:v>
                </c:pt>
                <c:pt idx="6" formatCode="#,##0.00">
                  <c:v>-174576.20678476407</c:v>
                </c:pt>
                <c:pt idx="7" formatCode="#,##0.00">
                  <c:v>-174437.80652231837</c:v>
                </c:pt>
                <c:pt idx="8" formatCode="#,##0.00">
                  <c:v>-174293.26719845473</c:v>
                </c:pt>
                <c:pt idx="9" formatCode="#,##0.00">
                  <c:v>-174138.08547233354</c:v>
                </c:pt>
                <c:pt idx="10" formatCode="#,##0.00">
                  <c:v>-173973.42961051842</c:v>
                </c:pt>
                <c:pt idx="11" formatCode="#,##0.00">
                  <c:v>-173798.49056519649</c:v>
                </c:pt>
                <c:pt idx="12" formatCode="#,##0.00">
                  <c:v>-177781.39434377797</c:v>
                </c:pt>
                <c:pt idx="13" formatCode="#,##0.00">
                  <c:v>-177584.37701770471</c:v>
                </c:pt>
                <c:pt idx="14" formatCode="#,##0.00">
                  <c:v>-176889.93791709925</c:v>
                </c:pt>
                <c:pt idx="15" formatCode="#,##0.00">
                  <c:v>92123.380569424568</c:v>
                </c:pt>
                <c:pt idx="16" formatCode="#,##0.00">
                  <c:v>147479.87406252333</c:v>
                </c:pt>
                <c:pt idx="17" formatCode="#,##0.00">
                  <c:v>1473765.2223409265</c:v>
                </c:pt>
                <c:pt idx="18" formatCode="#,##0.00">
                  <c:v>1551744.494061192</c:v>
                </c:pt>
                <c:pt idx="19" formatCode="#,##0.00">
                  <c:v>1201748.4601234412</c:v>
                </c:pt>
                <c:pt idx="20" formatCode="#,##0.00">
                  <c:v>1072323.9033910586</c:v>
                </c:pt>
                <c:pt idx="21" formatCode="#,##0.00">
                  <c:v>1019924.5513898833</c:v>
                </c:pt>
                <c:pt idx="22" formatCode="#,##0.00">
                  <c:v>1234970.0433531282</c:v>
                </c:pt>
                <c:pt idx="23" formatCode="#,##0.00">
                  <c:v>1325079.2280149418</c:v>
                </c:pt>
                <c:pt idx="24" formatCode="#,##0.00">
                  <c:v>1420214.6341175656</c:v>
                </c:pt>
                <c:pt idx="25" formatCode="#,##0.00">
                  <c:v>1322666.223395973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F-4B49-9691-909A5DE18A35}"/>
            </c:ext>
          </c:extLst>
        </c:ser>
        <c:ser>
          <c:idx val="4"/>
          <c:order val="4"/>
          <c:tx>
            <c:strRef>
              <c:f>'Chart tables'!$B$211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tables'!$C$211:$AB$211</c:f>
              <c:numCache>
                <c:formatCode>#,##0</c:formatCode>
                <c:ptCount val="26"/>
                <c:pt idx="0">
                  <c:v>0</c:v>
                </c:pt>
                <c:pt idx="1">
                  <c:v>2856.4650948047638</c:v>
                </c:pt>
                <c:pt idx="2">
                  <c:v>6760.4220324754715</c:v>
                </c:pt>
                <c:pt idx="3">
                  <c:v>73033171.314458132</c:v>
                </c:pt>
                <c:pt idx="4">
                  <c:v>73378703.006007195</c:v>
                </c:pt>
                <c:pt idx="5">
                  <c:v>72813099.734618664</c:v>
                </c:pt>
                <c:pt idx="6">
                  <c:v>71591017.33613801</c:v>
                </c:pt>
                <c:pt idx="7">
                  <c:v>70261565.405495524</c:v>
                </c:pt>
                <c:pt idx="8">
                  <c:v>70001302.200775981</c:v>
                </c:pt>
                <c:pt idx="9">
                  <c:v>66468937.595543742</c:v>
                </c:pt>
                <c:pt idx="10">
                  <c:v>62964133.154410243</c:v>
                </c:pt>
                <c:pt idx="11">
                  <c:v>57881509.909286737</c:v>
                </c:pt>
                <c:pt idx="12">
                  <c:v>52847218.130560994</c:v>
                </c:pt>
                <c:pt idx="13">
                  <c:v>48098659.476967454</c:v>
                </c:pt>
                <c:pt idx="14">
                  <c:v>43627890.118260384</c:v>
                </c:pt>
                <c:pt idx="15">
                  <c:v>103999700.35715818</c:v>
                </c:pt>
                <c:pt idx="16">
                  <c:v>86740739.649436951</c:v>
                </c:pt>
                <c:pt idx="17">
                  <c:v>191968139.29491043</c:v>
                </c:pt>
                <c:pt idx="18">
                  <c:v>140421657.9920454</c:v>
                </c:pt>
                <c:pt idx="19">
                  <c:v>197156566.87159419</c:v>
                </c:pt>
                <c:pt idx="20">
                  <c:v>127012333.52930379</c:v>
                </c:pt>
                <c:pt idx="21">
                  <c:v>138870243.10630822</c:v>
                </c:pt>
                <c:pt idx="22">
                  <c:v>120501683.79697776</c:v>
                </c:pt>
                <c:pt idx="23">
                  <c:v>101121069.39968085</c:v>
                </c:pt>
                <c:pt idx="24">
                  <c:v>92670689.676186323</c:v>
                </c:pt>
                <c:pt idx="25">
                  <c:v>85109296.025241375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FF-4B49-9691-909A5DE18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7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5B-4C5B-A661-8D8F9A15DFDD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tables'!$C$159:$C$164</c:f>
              <c:numCache>
                <c:formatCode>#,##0</c:formatCode>
                <c:ptCount val="6"/>
                <c:pt idx="0">
                  <c:v>23.488158532742986</c:v>
                </c:pt>
                <c:pt idx="1">
                  <c:v>-49.295436517669394</c:v>
                </c:pt>
                <c:pt idx="2">
                  <c:v>-109.94882795587559</c:v>
                </c:pt>
                <c:pt idx="3">
                  <c:v>-14.440635398150526</c:v>
                </c:pt>
                <c:pt idx="4">
                  <c:v>-83.726158194014999</c:v>
                </c:pt>
                <c:pt idx="5">
                  <c:v>-51.362840593969906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7-400F-85CE-A5EAD43D1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185182586499E-2"/>
          <c:w val="0.86250276584194185"/>
          <c:h val="0.5357621083620577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 tables'!$D$109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tables'!$D$183:$D$188</c:f>
              <c:numCache>
                <c:formatCode>#,##0.00</c:formatCode>
                <c:ptCount val="6"/>
                <c:pt idx="0">
                  <c:v>-146.82486483058929</c:v>
                </c:pt>
                <c:pt idx="1">
                  <c:v>-210.72314840101808</c:v>
                </c:pt>
                <c:pt idx="2">
                  <c:v>-273.20917512823519</c:v>
                </c:pt>
                <c:pt idx="3">
                  <c:v>-37.359125191602097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B-464E-B826-0845D32C8839}"/>
            </c:ext>
          </c:extLst>
        </c:ser>
        <c:ser>
          <c:idx val="2"/>
          <c:order val="2"/>
          <c:tx>
            <c:strRef>
              <c:f>'Chart tables'!$E$109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tables'!$E$183:$E$188</c:f>
              <c:numCache>
                <c:formatCode>#,##0.00</c:formatCode>
                <c:ptCount val="6"/>
                <c:pt idx="0">
                  <c:v>-20.378268720397383</c:v>
                </c:pt>
                <c:pt idx="1">
                  <c:v>-29.263580200381078</c:v>
                </c:pt>
                <c:pt idx="2">
                  <c:v>-37.955732735147741</c:v>
                </c:pt>
                <c:pt idx="3">
                  <c:v>-5.2265185098549329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B-464E-B826-0845D32C8839}"/>
            </c:ext>
          </c:extLst>
        </c:ser>
        <c:ser>
          <c:idx val="3"/>
          <c:order val="3"/>
          <c:tx>
            <c:strRef>
              <c:f>'Chart tables'!$F$109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tables'!$F$183:$F$188</c:f>
              <c:numCache>
                <c:formatCode>#,##0.00</c:formatCode>
                <c:ptCount val="6"/>
                <c:pt idx="0">
                  <c:v>-19.856251963678076</c:v>
                </c:pt>
                <c:pt idx="1">
                  <c:v>-19.856251963678076</c:v>
                </c:pt>
                <c:pt idx="2">
                  <c:v>-20.100781827335087</c:v>
                </c:pt>
                <c:pt idx="3">
                  <c:v>-12.208232654280009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5B-464E-B826-0845D32C8839}"/>
            </c:ext>
          </c:extLst>
        </c:ser>
        <c:ser>
          <c:idx val="4"/>
          <c:order val="4"/>
          <c:tx>
            <c:strRef>
              <c:f>'Chart tables'!$G$109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tables'!$G$183:$G$188</c:f>
              <c:numCache>
                <c:formatCode>#,##0.00</c:formatCode>
                <c:ptCount val="6"/>
                <c:pt idx="0">
                  <c:v>8.0386125118296921</c:v>
                </c:pt>
                <c:pt idx="1">
                  <c:v>8.0386125118296921</c:v>
                </c:pt>
                <c:pt idx="2">
                  <c:v>8.3265695652338021</c:v>
                </c:pt>
                <c:pt idx="3">
                  <c:v>1.0296593231873554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5B-464E-B826-0845D32C8839}"/>
            </c:ext>
          </c:extLst>
        </c:ser>
        <c:ser>
          <c:idx val="5"/>
          <c:order val="5"/>
          <c:tx>
            <c:strRef>
              <c:f>'Chart tables'!$H$109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tables'!$H$183:$H$188</c:f>
              <c:numCache>
                <c:formatCode>#,##0.00</c:formatCode>
                <c:ptCount val="6"/>
                <c:pt idx="0">
                  <c:v>134.22286137765525</c:v>
                </c:pt>
                <c:pt idx="1">
                  <c:v>134.22286137765525</c:v>
                </c:pt>
                <c:pt idx="2">
                  <c:v>141.32453798773795</c:v>
                </c:pt>
                <c:pt idx="3">
                  <c:v>10.68341790739238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5B-464E-B826-0845D32C8839}"/>
            </c:ext>
          </c:extLst>
        </c:ser>
        <c:ser>
          <c:idx val="6"/>
          <c:order val="6"/>
          <c:tx>
            <c:strRef>
              <c:f>'Chart tables'!$I$109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tables'!$I$183:$I$188</c:f>
              <c:numCache>
                <c:formatCode>#,##0.00</c:formatCode>
                <c:ptCount val="6"/>
                <c:pt idx="0">
                  <c:v>0.41752328273750289</c:v>
                </c:pt>
                <c:pt idx="1">
                  <c:v>0.41752328273750289</c:v>
                </c:pt>
                <c:pt idx="2">
                  <c:v>0.38381007894850594</c:v>
                </c:pt>
                <c:pt idx="3">
                  <c:v>-8.9900262532394526E-2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5B-464E-B826-0845D32C8839}"/>
            </c:ext>
          </c:extLst>
        </c:ser>
        <c:ser>
          <c:idx val="7"/>
          <c:order val="7"/>
          <c:tx>
            <c:strRef>
              <c:f>'Chart tables'!$J$109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tables'!$J$183:$J$188</c:f>
              <c:numCache>
                <c:formatCode>#,##0.00</c:formatCode>
                <c:ptCount val="6"/>
                <c:pt idx="0">
                  <c:v>67.868546875185359</c:v>
                </c:pt>
                <c:pt idx="1">
                  <c:v>67.868546875185359</c:v>
                </c:pt>
                <c:pt idx="2">
                  <c:v>71.281944102922097</c:v>
                </c:pt>
                <c:pt idx="3">
                  <c:v>28.730063989539183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5B-464E-B826-0845D32C8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'Chart tables'!$C$109</c:f>
              <c:strCache>
                <c:ptCount val="1"/>
                <c:pt idx="0">
                  <c:v>NPV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'Chart tables'!$B$183:$B$188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'Chart tables'!$C$183:$C$188</c:f>
              <c:numCache>
                <c:formatCode>#,##0.00</c:formatCode>
                <c:ptCount val="6"/>
                <c:pt idx="0">
                  <c:v>23.488158532742986</c:v>
                </c:pt>
                <c:pt idx="1">
                  <c:v>-49.295436517669394</c:v>
                </c:pt>
                <c:pt idx="2">
                  <c:v>-109.94882795587559</c:v>
                </c:pt>
                <c:pt idx="3">
                  <c:v>-14.440635398150526</c:v>
                </c:pt>
                <c:pt idx="4">
                  <c:v>-83.726158194014999</c:v>
                </c:pt>
                <c:pt idx="5">
                  <c:v>-51.362840593969906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B-464E-B826-0845D32C8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595494186094762E-4"/>
          <c:y val="0.7287728376223539"/>
          <c:w val="0.99723268730020165"/>
          <c:h val="0.243087503997530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006341901911"/>
          <c:y val="5.203260072962694E-2"/>
          <c:w val="0.86122269229817661"/>
          <c:h val="0.83056137582577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tables'!$C$304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26-40A5-A820-DC66723D3FB0}"/>
              </c:ext>
            </c:extLst>
          </c:dPt>
          <c:cat>
            <c:strRef>
              <c:f>'Chart tables'!$B$305:$B$310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tables'!$C$305:$C$310</c:f>
              <c:numCache>
                <c:formatCode>#,##0</c:formatCode>
                <c:ptCount val="6"/>
                <c:pt idx="0">
                  <c:v>32.568426341301262</c:v>
                </c:pt>
                <c:pt idx="1">
                  <c:v>-40.215168709111225</c:v>
                </c:pt>
                <c:pt idx="2">
                  <c:v>-97.236048819124264</c:v>
                </c:pt>
                <c:pt idx="3">
                  <c:v>-6.6810753329172767</c:v>
                </c:pt>
                <c:pt idx="4">
                  <c:v>-44.008749419036668</c:v>
                </c:pt>
                <c:pt idx="5">
                  <c:v>-28.876330161726578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E-4683-8AC0-1F72A64D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76647080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66780318121665"/>
          <c:y val="5.2070204411428546E-2"/>
          <c:w val="0.86250276584194185"/>
          <c:h val="0.531071992129755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 tables'!$D$109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tables'!$D$329:$D$334</c:f>
              <c:numCache>
                <c:formatCode>#,##0.00</c:formatCode>
                <c:ptCount val="6"/>
                <c:pt idx="0">
                  <c:v>-146.82486483058929</c:v>
                </c:pt>
                <c:pt idx="1">
                  <c:v>-210.72314840101808</c:v>
                </c:pt>
                <c:pt idx="2">
                  <c:v>-273.20917512823519</c:v>
                </c:pt>
                <c:pt idx="3">
                  <c:v>-37.359125191602097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C-4650-9A16-897CDE20AA3C}"/>
            </c:ext>
          </c:extLst>
        </c:ser>
        <c:ser>
          <c:idx val="2"/>
          <c:order val="2"/>
          <c:tx>
            <c:strRef>
              <c:f>'Chart tables'!$E$109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tables'!$E$329:$E$334</c:f>
              <c:numCache>
                <c:formatCode>#,##0.00</c:formatCode>
                <c:ptCount val="6"/>
                <c:pt idx="0">
                  <c:v>-20.378268720397383</c:v>
                </c:pt>
                <c:pt idx="1">
                  <c:v>-29.263580200381078</c:v>
                </c:pt>
                <c:pt idx="2">
                  <c:v>-37.955732735147741</c:v>
                </c:pt>
                <c:pt idx="3">
                  <c:v>-5.2265185098549329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C-4650-9A16-897CDE20AA3C}"/>
            </c:ext>
          </c:extLst>
        </c:ser>
        <c:ser>
          <c:idx val="3"/>
          <c:order val="3"/>
          <c:tx>
            <c:strRef>
              <c:f>'Chart tables'!$F$109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tables'!$F$329:$F$334</c:f>
              <c:numCache>
                <c:formatCode>#,##0.00</c:formatCode>
                <c:ptCount val="6"/>
                <c:pt idx="0">
                  <c:v>-8.1323904421670292</c:v>
                </c:pt>
                <c:pt idx="1">
                  <c:v>-8.1323904421670292</c:v>
                </c:pt>
                <c:pt idx="2">
                  <c:v>-8.2097757640447551</c:v>
                </c:pt>
                <c:pt idx="3">
                  <c:v>-3.786736533316255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C-4650-9A16-897CDE20AA3C}"/>
            </c:ext>
          </c:extLst>
        </c:ser>
        <c:ser>
          <c:idx val="4"/>
          <c:order val="4"/>
          <c:tx>
            <c:strRef>
              <c:f>'Chart tables'!$G$109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tables'!$G$329:$G$334</c:f>
              <c:numCache>
                <c:formatCode>#,##0.00</c:formatCode>
                <c:ptCount val="6"/>
                <c:pt idx="0">
                  <c:v>26.163456968169417</c:v>
                </c:pt>
                <c:pt idx="1">
                  <c:v>26.163456968169417</c:v>
                </c:pt>
                <c:pt idx="2">
                  <c:v>26.6136322680704</c:v>
                </c:pt>
                <c:pt idx="3">
                  <c:v>1.395517987145922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C-4650-9A16-897CDE20AA3C}"/>
            </c:ext>
          </c:extLst>
        </c:ser>
        <c:ser>
          <c:idx val="5"/>
          <c:order val="5"/>
          <c:tx>
            <c:strRef>
              <c:f>'Chart tables'!$H$109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tables'!$H$329:$H$334</c:f>
              <c:numCache>
                <c:formatCode>#,##0.00</c:formatCode>
                <c:ptCount val="6"/>
                <c:pt idx="0">
                  <c:v>71.692503215912708</c:v>
                </c:pt>
                <c:pt idx="1">
                  <c:v>71.692503215912708</c:v>
                </c:pt>
                <c:pt idx="2">
                  <c:v>78.346472611843154</c:v>
                </c:pt>
                <c:pt idx="3">
                  <c:v>7.6161472324521302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C-4650-9A16-897CDE20AA3C}"/>
            </c:ext>
          </c:extLst>
        </c:ser>
        <c:ser>
          <c:idx val="6"/>
          <c:order val="6"/>
          <c:tx>
            <c:strRef>
              <c:f>'Chart tables'!$I$109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tables'!$I$329:$I$334</c:f>
              <c:numCache>
                <c:formatCode>#,##0.00</c:formatCode>
                <c:ptCount val="6"/>
                <c:pt idx="0">
                  <c:v>0.83634332777955533</c:v>
                </c:pt>
                <c:pt idx="1">
                  <c:v>0.83634332777955533</c:v>
                </c:pt>
                <c:pt idx="2">
                  <c:v>0.85924749592670402</c:v>
                </c:pt>
                <c:pt idx="3">
                  <c:v>-3.2101375374044408E-2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C-4650-9A16-897CDE20AA3C}"/>
            </c:ext>
          </c:extLst>
        </c:ser>
        <c:ser>
          <c:idx val="7"/>
          <c:order val="7"/>
          <c:tx>
            <c:strRef>
              <c:f>'Chart tables'!$J$109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tables'!$J$329:$J$334</c:f>
              <c:numCache>
                <c:formatCode>#,##0.00</c:formatCode>
                <c:ptCount val="6"/>
                <c:pt idx="0">
                  <c:v>109.21164682259328</c:v>
                </c:pt>
                <c:pt idx="1">
                  <c:v>109.21164682259328</c:v>
                </c:pt>
                <c:pt idx="2">
                  <c:v>116.31928243246315</c:v>
                </c:pt>
                <c:pt idx="3">
                  <c:v>30.711741057631997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3C-4650-9A16-897CDE20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'Chart tables'!$C$109</c:f>
              <c:strCache>
                <c:ptCount val="1"/>
                <c:pt idx="0">
                  <c:v>NPV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'Chart tables'!$B$329:$B$334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'Chart tables'!$C$329:$C$334</c:f>
              <c:numCache>
                <c:formatCode>#,##0.00</c:formatCode>
                <c:ptCount val="6"/>
                <c:pt idx="0">
                  <c:v>32.568426341301262</c:v>
                </c:pt>
                <c:pt idx="1">
                  <c:v>-40.215168709111225</c:v>
                </c:pt>
                <c:pt idx="2">
                  <c:v>-97.236048819124264</c:v>
                </c:pt>
                <c:pt idx="3">
                  <c:v>-6.6810753329172767</c:v>
                </c:pt>
                <c:pt idx="4">
                  <c:v>-44.008749419036668</c:v>
                </c:pt>
                <c:pt idx="5">
                  <c:v>-28.876330161726578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3C-4650-9A16-897CDE20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2877273746169113"/>
          <c:w val="0.9993080901162783"/>
          <c:h val="0.2430875937665832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tables'!$B$352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tables'!$C$351:$AB$351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tables'!$C$352:$AB$352</c:f>
              <c:numCache>
                <c:formatCode>#,##0</c:formatCode>
                <c:ptCount val="26"/>
                <c:pt idx="0">
                  <c:v>0</c:v>
                </c:pt>
                <c:pt idx="1">
                  <c:v>-52117.015976987546</c:v>
                </c:pt>
                <c:pt idx="2">
                  <c:v>-479614.7524982433</c:v>
                </c:pt>
                <c:pt idx="3">
                  <c:v>-3174939.318904127</c:v>
                </c:pt>
                <c:pt idx="4">
                  <c:v>-11629947.903041393</c:v>
                </c:pt>
                <c:pt idx="5">
                  <c:v>-11630034.312255295</c:v>
                </c:pt>
                <c:pt idx="6">
                  <c:v>-11993146.610548962</c:v>
                </c:pt>
                <c:pt idx="7">
                  <c:v>-11993243.71706612</c:v>
                </c:pt>
                <c:pt idx="8">
                  <c:v>-11993346.213487407</c:v>
                </c:pt>
                <c:pt idx="9">
                  <c:v>-11993454.724051012</c:v>
                </c:pt>
                <c:pt idx="10">
                  <c:v>-11654989.63870912</c:v>
                </c:pt>
                <c:pt idx="11">
                  <c:v>-11655111.620058794</c:v>
                </c:pt>
                <c:pt idx="12">
                  <c:v>-11655240.433540933</c:v>
                </c:pt>
                <c:pt idx="13">
                  <c:v>-11655376.871123839</c:v>
                </c:pt>
                <c:pt idx="14">
                  <c:v>-11655521.293197051</c:v>
                </c:pt>
                <c:pt idx="15">
                  <c:v>-10940021.059100155</c:v>
                </c:pt>
                <c:pt idx="16">
                  <c:v>-10935175.721517939</c:v>
                </c:pt>
                <c:pt idx="17">
                  <c:v>-10834583.464393346</c:v>
                </c:pt>
                <c:pt idx="18">
                  <c:v>-10834764.115005495</c:v>
                </c:pt>
                <c:pt idx="19">
                  <c:v>-10366929.915161658</c:v>
                </c:pt>
                <c:pt idx="20">
                  <c:v>-9860367.3515411764</c:v>
                </c:pt>
                <c:pt idx="21">
                  <c:v>-10564112.673614187</c:v>
                </c:pt>
                <c:pt idx="22">
                  <c:v>-10197596.453874243</c:v>
                </c:pt>
                <c:pt idx="23">
                  <c:v>-9980798.4824228343</c:v>
                </c:pt>
                <c:pt idx="24">
                  <c:v>-8682947.4788531102</c:v>
                </c:pt>
                <c:pt idx="25">
                  <c:v>-8723246.9695424717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C9-4AB4-A8C4-4C33857183CD}"/>
            </c:ext>
          </c:extLst>
        </c:ser>
        <c:ser>
          <c:idx val="1"/>
          <c:order val="1"/>
          <c:tx>
            <c:strRef>
              <c:f>'Chart tables'!$B$353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tables'!$C$351:$AB$351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tables'!$C$353:$AB$353</c:f>
              <c:numCache>
                <c:formatCode>#,##0</c:formatCode>
                <c:ptCount val="26"/>
                <c:pt idx="0">
                  <c:v>0</c:v>
                </c:pt>
                <c:pt idx="1">
                  <c:v>-161.96488759952416</c:v>
                </c:pt>
                <c:pt idx="2">
                  <c:v>10658024.363763854</c:v>
                </c:pt>
                <c:pt idx="3">
                  <c:v>10104967.305440387</c:v>
                </c:pt>
                <c:pt idx="4">
                  <c:v>10698119.852195697</c:v>
                </c:pt>
                <c:pt idx="5">
                  <c:v>22930989.341102637</c:v>
                </c:pt>
                <c:pt idx="6">
                  <c:v>17387786.985624731</c:v>
                </c:pt>
                <c:pt idx="7">
                  <c:v>17726012.086173914</c:v>
                </c:pt>
                <c:pt idx="8">
                  <c:v>35695328.347826377</c:v>
                </c:pt>
                <c:pt idx="9">
                  <c:v>53035783.854001373</c:v>
                </c:pt>
                <c:pt idx="10">
                  <c:v>27106479.701668493</c:v>
                </c:pt>
                <c:pt idx="11">
                  <c:v>26809360.626851361</c:v>
                </c:pt>
                <c:pt idx="12">
                  <c:v>24863560.981564928</c:v>
                </c:pt>
                <c:pt idx="13">
                  <c:v>19553112.340864856</c:v>
                </c:pt>
                <c:pt idx="14">
                  <c:v>20607857.711535741</c:v>
                </c:pt>
                <c:pt idx="15">
                  <c:v>14099426.521019945</c:v>
                </c:pt>
                <c:pt idx="16">
                  <c:v>31526787.194574717</c:v>
                </c:pt>
                <c:pt idx="17">
                  <c:v>32159706.84875622</c:v>
                </c:pt>
                <c:pt idx="18">
                  <c:v>33653794.288112439</c:v>
                </c:pt>
                <c:pt idx="19">
                  <c:v>33708978.421572313</c:v>
                </c:pt>
                <c:pt idx="20">
                  <c:v>37423886.983323917</c:v>
                </c:pt>
                <c:pt idx="21">
                  <c:v>38269419.775468975</c:v>
                </c:pt>
                <c:pt idx="22">
                  <c:v>35412206.764639877</c:v>
                </c:pt>
                <c:pt idx="23">
                  <c:v>32234658.423959196</c:v>
                </c:pt>
                <c:pt idx="24">
                  <c:v>31126446.577594072</c:v>
                </c:pt>
                <c:pt idx="25">
                  <c:v>30264436.874049686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C9-4AB4-A8C4-4C33857183CD}"/>
            </c:ext>
          </c:extLst>
        </c:ser>
        <c:ser>
          <c:idx val="2"/>
          <c:order val="2"/>
          <c:tx>
            <c:strRef>
              <c:f>'Chart tables'!$B$354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tables'!$C$351:$AB$351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tables'!$C$354:$AB$354</c:f>
              <c:numCache>
                <c:formatCode>#,##0</c:formatCode>
                <c:ptCount val="26"/>
                <c:pt idx="0">
                  <c:v>0</c:v>
                </c:pt>
                <c:pt idx="1">
                  <c:v>877107.39644551277</c:v>
                </c:pt>
                <c:pt idx="2">
                  <c:v>1772550.6482183933</c:v>
                </c:pt>
                <c:pt idx="3">
                  <c:v>1222793.5112142563</c:v>
                </c:pt>
                <c:pt idx="4">
                  <c:v>5574122.6124082804</c:v>
                </c:pt>
                <c:pt idx="5">
                  <c:v>16580048.425915718</c:v>
                </c:pt>
                <c:pt idx="6">
                  <c:v>25982062.657397687</c:v>
                </c:pt>
                <c:pt idx="7">
                  <c:v>36528729.649075747</c:v>
                </c:pt>
                <c:pt idx="8">
                  <c:v>44242731.8384009</c:v>
                </c:pt>
                <c:pt idx="9">
                  <c:v>52802071.613992035</c:v>
                </c:pt>
                <c:pt idx="10">
                  <c:v>65075140.847391844</c:v>
                </c:pt>
                <c:pt idx="11">
                  <c:v>78347805.86389336</c:v>
                </c:pt>
                <c:pt idx="12">
                  <c:v>91199426.76295346</c:v>
                </c:pt>
                <c:pt idx="13">
                  <c:v>105008542.53019112</c:v>
                </c:pt>
                <c:pt idx="14">
                  <c:v>117220669.33038408</c:v>
                </c:pt>
                <c:pt idx="15">
                  <c:v>119905607.32189405</c:v>
                </c:pt>
                <c:pt idx="16">
                  <c:v>122824290.02160323</c:v>
                </c:pt>
                <c:pt idx="17">
                  <c:v>123685685.14609796</c:v>
                </c:pt>
                <c:pt idx="18">
                  <c:v>124225155.30350098</c:v>
                </c:pt>
                <c:pt idx="19">
                  <c:v>120560770.07983872</c:v>
                </c:pt>
                <c:pt idx="20">
                  <c:v>118218056.49417129</c:v>
                </c:pt>
                <c:pt idx="21">
                  <c:v>118411918.80960464</c:v>
                </c:pt>
                <c:pt idx="22">
                  <c:v>118971308.23697114</c:v>
                </c:pt>
                <c:pt idx="23">
                  <c:v>119450303.89260063</c:v>
                </c:pt>
                <c:pt idx="24">
                  <c:v>121284059.56308739</c:v>
                </c:pt>
                <c:pt idx="25">
                  <c:v>125502363.04462305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C9-4AB4-A8C4-4C33857183CD}"/>
            </c:ext>
          </c:extLst>
        </c:ser>
        <c:ser>
          <c:idx val="3"/>
          <c:order val="3"/>
          <c:tx>
            <c:strRef>
              <c:f>'Chart tables'!$B$355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tables'!$C$351:$AB$351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tables'!$C$355:$AB$355</c:f>
              <c:numCache>
                <c:formatCode>#,##0</c:formatCode>
                <c:ptCount val="26"/>
                <c:pt idx="0">
                  <c:v>0</c:v>
                </c:pt>
                <c:pt idx="1">
                  <c:v>-1912.5568316154531</c:v>
                </c:pt>
                <c:pt idx="2" formatCode="#,##0.00">
                  <c:v>-25484.324772362495</c:v>
                </c:pt>
                <c:pt idx="3" formatCode="#,##0.00">
                  <c:v>-35103.43883378584</c:v>
                </c:pt>
                <c:pt idx="4" formatCode="#,##0.00">
                  <c:v>-197905.23596087255</c:v>
                </c:pt>
                <c:pt idx="5" formatCode="#,##0.00">
                  <c:v>-198245.61994466488</c:v>
                </c:pt>
                <c:pt idx="6" formatCode="#,##0.00">
                  <c:v>-221549.84870834847</c:v>
                </c:pt>
                <c:pt idx="7" formatCode="#,##0.00">
                  <c:v>-221930.66589355314</c:v>
                </c:pt>
                <c:pt idx="8" formatCode="#,##0.00">
                  <c:v>-222333.8467223614</c:v>
                </c:pt>
                <c:pt idx="9" formatCode="#,##0.00">
                  <c:v>-222761.86910523893</c:v>
                </c:pt>
                <c:pt idx="10" formatCode="#,##0.00">
                  <c:v>-223221.09609703955</c:v>
                </c:pt>
                <c:pt idx="11" formatCode="#,##0.00">
                  <c:v>-217383.70461167884</c:v>
                </c:pt>
                <c:pt idx="12" formatCode="#,##0.00">
                  <c:v>-215880.27431946911</c:v>
                </c:pt>
                <c:pt idx="13" formatCode="#,##0.00">
                  <c:v>-182726.97137025913</c:v>
                </c:pt>
                <c:pt idx="14" formatCode="#,##0.00">
                  <c:v>-202767.82112635669</c:v>
                </c:pt>
                <c:pt idx="15" formatCode="#,##0.00">
                  <c:v>-36476.919705999862</c:v>
                </c:pt>
                <c:pt idx="16" formatCode="#,##0.00">
                  <c:v>3905.5226698699771</c:v>
                </c:pt>
                <c:pt idx="17" formatCode="#,##0.00">
                  <c:v>-2860216.5434060125</c:v>
                </c:pt>
                <c:pt idx="18" formatCode="#,##0.00">
                  <c:v>-2525220.6352478154</c:v>
                </c:pt>
                <c:pt idx="19" formatCode="#,##0.00">
                  <c:v>-2142331.5526459347</c:v>
                </c:pt>
                <c:pt idx="20" formatCode="#,##0.00">
                  <c:v>-833265.08866437548</c:v>
                </c:pt>
                <c:pt idx="21" formatCode="#,##0.00">
                  <c:v>-495679.17543357273</c:v>
                </c:pt>
                <c:pt idx="22" formatCode="#,##0.00">
                  <c:v>1297069.4998466996</c:v>
                </c:pt>
                <c:pt idx="23" formatCode="#,##0.00">
                  <c:v>3245987.8545540427</c:v>
                </c:pt>
                <c:pt idx="24" formatCode="#,##0.00">
                  <c:v>3387554.2784727006</c:v>
                </c:pt>
                <c:pt idx="25" formatCode="#,##0.00">
                  <c:v>4587116.0780984657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7C9-4AB4-A8C4-4C33857183CD}"/>
            </c:ext>
          </c:extLst>
        </c:ser>
        <c:ser>
          <c:idx val="4"/>
          <c:order val="4"/>
          <c:tx>
            <c:strRef>
              <c:f>'Chart tables'!$B$356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tables'!$C$351:$AB$351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tables'!$C$356:$AB$356</c:f>
              <c:numCache>
                <c:formatCode>#,##0</c:formatCode>
                <c:ptCount val="26"/>
                <c:pt idx="0">
                  <c:v>0</c:v>
                </c:pt>
                <c:pt idx="1">
                  <c:v>14412401.001158655</c:v>
                </c:pt>
                <c:pt idx="2">
                  <c:v>52115403.146844655</c:v>
                </c:pt>
                <c:pt idx="3">
                  <c:v>77885709.689422548</c:v>
                </c:pt>
                <c:pt idx="4">
                  <c:v>70304383.549004763</c:v>
                </c:pt>
                <c:pt idx="5">
                  <c:v>73732941.369120568</c:v>
                </c:pt>
                <c:pt idx="6">
                  <c:v>215427565.75142074</c:v>
                </c:pt>
                <c:pt idx="7">
                  <c:v>171311894.0491775</c:v>
                </c:pt>
                <c:pt idx="8">
                  <c:v>156087625.03456697</c:v>
                </c:pt>
                <c:pt idx="9">
                  <c:v>80337678.380178005</c:v>
                </c:pt>
                <c:pt idx="10">
                  <c:v>-47988308.810607165</c:v>
                </c:pt>
                <c:pt idx="11">
                  <c:v>-50688121.892134637</c:v>
                </c:pt>
                <c:pt idx="12">
                  <c:v>96729148.465248346</c:v>
                </c:pt>
                <c:pt idx="13">
                  <c:v>59347802.809335113</c:v>
                </c:pt>
                <c:pt idx="14">
                  <c:v>69638909.993555307</c:v>
                </c:pt>
                <c:pt idx="15">
                  <c:v>85385847.636154234</c:v>
                </c:pt>
                <c:pt idx="16">
                  <c:v>95024373.072525203</c:v>
                </c:pt>
                <c:pt idx="17">
                  <c:v>122531498.63258666</c:v>
                </c:pt>
                <c:pt idx="18">
                  <c:v>100431162.31701022</c:v>
                </c:pt>
                <c:pt idx="19">
                  <c:v>118074982.01858401</c:v>
                </c:pt>
                <c:pt idx="20">
                  <c:v>96241313.039087594</c:v>
                </c:pt>
                <c:pt idx="21">
                  <c:v>87251043.678138077</c:v>
                </c:pt>
                <c:pt idx="22">
                  <c:v>93419939.139108717</c:v>
                </c:pt>
                <c:pt idx="23">
                  <c:v>84754137.633737117</c:v>
                </c:pt>
                <c:pt idx="24">
                  <c:v>81624476.941128999</c:v>
                </c:pt>
                <c:pt idx="25">
                  <c:v>80093819.907199711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7C9-4AB4-A8C4-4C3385718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7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DA-4C86-B90E-B4B81D53AF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409-4807-B43D-28EC2D367480}"/>
              </c:ext>
            </c:extLst>
          </c:dPt>
          <c:cat>
            <c:multiLvlStrRef>
              <c:f>'Chart tables'!$B$379:$C$390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2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2</c:v>
                  </c:pt>
                  <c:pt idx="9">
                    <c:v>Option 3</c:v>
                  </c:pt>
                  <c:pt idx="10">
                    <c:v>Option 4</c:v>
                  </c:pt>
                  <c:pt idx="11">
                    <c:v>Option 5</c:v>
                  </c:pt>
                </c:lvl>
                <c:lvl>
                  <c:pt idx="0">
                    <c:v>High capex</c:v>
                  </c:pt>
                  <c:pt idx="6">
                    <c:v>Low capex</c:v>
                  </c:pt>
                </c:lvl>
              </c:multiLvlStrCache>
            </c:multiLvlStrRef>
          </c:cat>
          <c:val>
            <c:numRef>
              <c:f>'Chart tables'!$D$379:$D$390</c:f>
              <c:numCache>
                <c:formatCode>#,##0</c:formatCode>
                <c:ptCount val="12"/>
                <c:pt idx="0">
                  <c:v>-4.1377898663460613</c:v>
                </c:pt>
                <c:pt idx="1">
                  <c:v>-92.89595580936583</c:v>
                </c:pt>
                <c:pt idx="2">
                  <c:v>-165.53834260118299</c:v>
                </c:pt>
                <c:pt idx="3">
                  <c:v>-16.020856630817789</c:v>
                </c:pt>
                <c:pt idx="4">
                  <c:v>-80.714965626683991</c:v>
                </c:pt>
                <c:pt idx="5">
                  <c:v>-28.876330161726578</c:v>
                </c:pt>
                <c:pt idx="6">
                  <c:v>69.274642548948592</c:v>
                </c:pt>
                <c:pt idx="7">
                  <c:v>12.465618391143263</c:v>
                </c:pt>
                <c:pt idx="8">
                  <c:v>-28.933755037065431</c:v>
                </c:pt>
                <c:pt idx="9">
                  <c:v>2.6587059649832474</c:v>
                </c:pt>
                <c:pt idx="10">
                  <c:v>-7.3025332113892842</c:v>
                </c:pt>
                <c:pt idx="11">
                  <c:v>-28.876330161726578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9-4807-B43D-28EC2D36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472024"/>
        <c:axId val="726472352"/>
      </c:barChart>
      <c:catAx>
        <c:axId val="7264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472352"/>
        <c:crosses val="autoZero"/>
        <c:auto val="1"/>
        <c:lblAlgn val="ctr"/>
        <c:lblOffset val="100"/>
        <c:noMultiLvlLbl val="0"/>
      </c:catAx>
      <c:valAx>
        <c:axId val="726472352"/>
        <c:scaling>
          <c:orientation val="minMax"/>
          <c:max val="1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4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tables'!$I$378</c:f>
              <c:strCache>
                <c:ptCount val="1"/>
                <c:pt idx="0">
                  <c:v>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5-4C16-8C19-1E129AE244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86-43DA-A773-3BE9BD1E50B9}"/>
              </c:ext>
            </c:extLst>
          </c:dPt>
          <c:cat>
            <c:multiLvlStrRef>
              <c:f>'Chart tables'!$G$379:$H$390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2</c:v>
                  </c:pt>
                  <c:pt idx="3">
                    <c:v>Option 3</c:v>
                  </c:pt>
                  <c:pt idx="4">
                    <c:v>Option 4</c:v>
                  </c:pt>
                  <c:pt idx="5">
                    <c:v>Option 5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2</c:v>
                  </c:pt>
                  <c:pt idx="9">
                    <c:v>Option 3</c:v>
                  </c:pt>
                  <c:pt idx="10">
                    <c:v>Option 4</c:v>
                  </c:pt>
                  <c:pt idx="11">
                    <c:v>Option 5</c:v>
                  </c:pt>
                </c:lvl>
                <c:lvl>
                  <c:pt idx="0">
                    <c:v>High discount rate</c:v>
                  </c:pt>
                  <c:pt idx="6">
                    <c:v>Low discount rate</c:v>
                  </c:pt>
                </c:lvl>
              </c:multiLvlStrCache>
            </c:multiLvlStrRef>
          </c:cat>
          <c:val>
            <c:numRef>
              <c:f>'Chart tables'!$I$379:$I$390</c:f>
              <c:numCache>
                <c:formatCode>#,##0</c:formatCode>
                <c:ptCount val="12"/>
                <c:pt idx="0">
                  <c:v>7.0454053200118247</c:v>
                </c:pt>
                <c:pt idx="1">
                  <c:v>-61.13891970828962</c:v>
                </c:pt>
                <c:pt idx="2">
                  <c:v>-117.67743523759162</c:v>
                </c:pt>
                <c:pt idx="3">
                  <c:v>-10.075461517498292</c:v>
                </c:pt>
                <c:pt idx="4">
                  <c:v>-62.514121443179206</c:v>
                </c:pt>
                <c:pt idx="5">
                  <c:v>-27.567949509008816</c:v>
                </c:pt>
                <c:pt idx="6">
                  <c:v>84.429519289801135</c:v>
                </c:pt>
                <c:pt idx="7">
                  <c:v>13.567531921548412</c:v>
                </c:pt>
                <c:pt idx="8">
                  <c:v>-34.912386782457084</c:v>
                </c:pt>
                <c:pt idx="9">
                  <c:v>0.56513029029221828</c:v>
                </c:pt>
                <c:pt idx="10">
                  <c:v>-4.1815372528996653</c:v>
                </c:pt>
                <c:pt idx="11">
                  <c:v>-34.207121231248365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86-43DA-A773-3BE9BD1E5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472024"/>
        <c:axId val="726472352"/>
      </c:barChart>
      <c:catAx>
        <c:axId val="7264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726472352"/>
        <c:crosses val="autoZero"/>
        <c:auto val="1"/>
        <c:lblAlgn val="ctr"/>
        <c:lblOffset val="100"/>
        <c:noMultiLvlLbl val="0"/>
      </c:catAx>
      <c:valAx>
        <c:axId val="726472352"/>
        <c:scaling>
          <c:orientation val="minMax"/>
          <c:max val="150"/>
          <c:min val="-1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472024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Central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tables'!$C$13:$C$18</c:f>
              <c:numCache>
                <c:formatCode>#,##0</c:formatCode>
                <c:ptCount val="6"/>
                <c:pt idx="0">
                  <c:v>-65.47473730557455</c:v>
                </c:pt>
                <c:pt idx="1">
                  <c:v>-138.25833235598708</c:v>
                </c:pt>
                <c:pt idx="2">
                  <c:v>-201.00602518582241</c:v>
                </c:pt>
                <c:pt idx="3">
                  <c:v>-16.908021509543975</c:v>
                </c:pt>
                <c:pt idx="4">
                  <c:v>-165.26075073194494</c:v>
                </c:pt>
                <c:pt idx="5">
                  <c:v>-46.536759460817883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4-44C6-BBA7-AD33119D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B1C-4F5D-BA31-7390E071D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  <c:min val="-3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Slow-change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8-46A6-AEBA-90576808FD7E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tables'!$C$159:$C$164</c:f>
              <c:numCache>
                <c:formatCode>#,##0</c:formatCode>
                <c:ptCount val="6"/>
                <c:pt idx="0">
                  <c:v>23.488158532742986</c:v>
                </c:pt>
                <c:pt idx="1">
                  <c:v>-49.295436517669394</c:v>
                </c:pt>
                <c:pt idx="2">
                  <c:v>-109.94882795587559</c:v>
                </c:pt>
                <c:pt idx="3">
                  <c:v>-14.440635398150526</c:v>
                </c:pt>
                <c:pt idx="4">
                  <c:v>-83.726158194014999</c:v>
                </c:pt>
                <c:pt idx="5">
                  <c:v>-51.362840593969906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0-43E1-A9D5-B84CAEAF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Step-change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5-4CAA-8627-28E981F19FBB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tables'!$C$86:$C$91</c:f>
              <c:numCache>
                <c:formatCode>#,##0</c:formatCode>
                <c:ptCount val="6"/>
                <c:pt idx="0">
                  <c:v>158.52364086615265</c:v>
                </c:pt>
                <c:pt idx="1">
                  <c:v>85.740045815740103</c:v>
                </c:pt>
                <c:pt idx="2">
                  <c:v>37.554318315618268</c:v>
                </c:pt>
                <c:pt idx="3">
                  <c:v>8.5734748436076593</c:v>
                </c:pt>
                <c:pt idx="4">
                  <c:v>135.58379709853281</c:v>
                </c:pt>
                <c:pt idx="5">
                  <c:v>10.26158091753625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5-4CAA-8627-28E981F19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184-4E46-9BB0-42621F2E38A1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tables'!$C$232:$C$237</c:f>
              <c:numCache>
                <c:formatCode>#,##0</c:formatCode>
                <c:ptCount val="6"/>
                <c:pt idx="0">
                  <c:v>13.736643271883963</c:v>
                </c:pt>
                <c:pt idx="1">
                  <c:v>-59.04695177852853</c:v>
                </c:pt>
                <c:pt idx="2">
                  <c:v>-115.54366045041711</c:v>
                </c:pt>
                <c:pt idx="3">
                  <c:v>-3.9491192675823092</c:v>
                </c:pt>
                <c:pt idx="4">
                  <c:v>-62.631885848719179</c:v>
                </c:pt>
                <c:pt idx="5">
                  <c:v>-27.867301509654695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4-4E46-9BB0-42621F2E3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tables'!$B$280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tables'!$C$280:$AB$280</c:f>
              <c:numCache>
                <c:formatCode>#,##0</c:formatCode>
                <c:ptCount val="26"/>
                <c:pt idx="0">
                  <c:v>0</c:v>
                </c:pt>
                <c:pt idx="1">
                  <c:v>-10.299304686486721</c:v>
                </c:pt>
                <c:pt idx="2">
                  <c:v>-53.840401623923242</c:v>
                </c:pt>
                <c:pt idx="3">
                  <c:v>-273.10702033765978</c:v>
                </c:pt>
                <c:pt idx="4">
                  <c:v>103444.72731776111</c:v>
                </c:pt>
                <c:pt idx="5">
                  <c:v>103393.0218429511</c:v>
                </c:pt>
                <c:pt idx="6">
                  <c:v>103338.28961341795</c:v>
                </c:pt>
                <c:pt idx="7">
                  <c:v>103280.15452906059</c:v>
                </c:pt>
                <c:pt idx="8">
                  <c:v>103218.71855133797</c:v>
                </c:pt>
                <c:pt idx="9">
                  <c:v>103153.58859656323</c:v>
                </c:pt>
                <c:pt idx="10">
                  <c:v>-2388783.3266336941</c:v>
                </c:pt>
                <c:pt idx="11">
                  <c:v>-2388856.6166598815</c:v>
                </c:pt>
                <c:pt idx="12">
                  <c:v>-2388934.0975498455</c:v>
                </c:pt>
                <c:pt idx="13">
                  <c:v>-2389016.3435094552</c:v>
                </c:pt>
                <c:pt idx="14">
                  <c:v>-2389118.4859598647</c:v>
                </c:pt>
                <c:pt idx="15">
                  <c:v>-2389210.5878727194</c:v>
                </c:pt>
                <c:pt idx="16">
                  <c:v>-2389307.8245863584</c:v>
                </c:pt>
                <c:pt idx="17">
                  <c:v>475643.75810688687</c:v>
                </c:pt>
                <c:pt idx="18">
                  <c:v>475534.4188734467</c:v>
                </c:pt>
                <c:pt idx="19">
                  <c:v>475418.39474383387</c:v>
                </c:pt>
                <c:pt idx="20">
                  <c:v>475295.81374832435</c:v>
                </c:pt>
                <c:pt idx="21">
                  <c:v>475165.89206247299</c:v>
                </c:pt>
                <c:pt idx="22">
                  <c:v>585748.13939453743</c:v>
                </c:pt>
                <c:pt idx="23">
                  <c:v>585602.22509519896</c:v>
                </c:pt>
                <c:pt idx="24">
                  <c:v>585447.96078714461</c:v>
                </c:pt>
                <c:pt idx="25">
                  <c:v>585284.58294817421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6-400D-A8D7-A2EF1F587D73}"/>
            </c:ext>
          </c:extLst>
        </c:ser>
        <c:ser>
          <c:idx val="1"/>
          <c:order val="1"/>
          <c:tx>
            <c:strRef>
              <c:f>'Chart tables'!$B$281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tables'!$C$281:$AB$281</c:f>
              <c:numCache>
                <c:formatCode>#,##0</c:formatCode>
                <c:ptCount val="26"/>
                <c:pt idx="0">
                  <c:v>0</c:v>
                </c:pt>
                <c:pt idx="1">
                  <c:v>-90.769536613062428</c:v>
                </c:pt>
                <c:pt idx="2">
                  <c:v>-534.32843661738843</c:v>
                </c:pt>
                <c:pt idx="3">
                  <c:v>-644.99326377560305</c:v>
                </c:pt>
                <c:pt idx="4">
                  <c:v>-709.73284317961236</c:v>
                </c:pt>
                <c:pt idx="5">
                  <c:v>-833.74853851222076</c:v>
                </c:pt>
                <c:pt idx="6">
                  <c:v>-1001.4665886153063</c:v>
                </c:pt>
                <c:pt idx="7">
                  <c:v>-1129.4765848147385</c:v>
                </c:pt>
                <c:pt idx="8">
                  <c:v>-2122.9991844079473</c:v>
                </c:pt>
                <c:pt idx="9">
                  <c:v>-4506175.3849393148</c:v>
                </c:pt>
                <c:pt idx="10">
                  <c:v>97553729.766424894</c:v>
                </c:pt>
                <c:pt idx="11">
                  <c:v>97553400.893877789</c:v>
                </c:pt>
                <c:pt idx="12">
                  <c:v>70667754.604602918</c:v>
                </c:pt>
                <c:pt idx="13">
                  <c:v>57658577.818580613</c:v>
                </c:pt>
                <c:pt idx="14">
                  <c:v>42882661.769120917</c:v>
                </c:pt>
                <c:pt idx="15">
                  <c:v>47661849.338626131</c:v>
                </c:pt>
                <c:pt idx="16">
                  <c:v>30446537.554136023</c:v>
                </c:pt>
                <c:pt idx="17">
                  <c:v>9688164.1433319896</c:v>
                </c:pt>
                <c:pt idx="18">
                  <c:v>14960110.571472734</c:v>
                </c:pt>
                <c:pt idx="19">
                  <c:v>17152246.069018204</c:v>
                </c:pt>
                <c:pt idx="20">
                  <c:v>10485921.286718179</c:v>
                </c:pt>
                <c:pt idx="21">
                  <c:v>6866411.3072551079</c:v>
                </c:pt>
                <c:pt idx="22">
                  <c:v>7111014.461486686</c:v>
                </c:pt>
                <c:pt idx="23">
                  <c:v>9666415.5631284602</c:v>
                </c:pt>
                <c:pt idx="24">
                  <c:v>15829420.014292885</c:v>
                </c:pt>
                <c:pt idx="25">
                  <c:v>17957510.720072754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6-400D-A8D7-A2EF1F587D73}"/>
            </c:ext>
          </c:extLst>
        </c:ser>
        <c:ser>
          <c:idx val="2"/>
          <c:order val="2"/>
          <c:tx>
            <c:strRef>
              <c:f>'Chart tables'!$B$282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tables'!$C$282:$AB$282</c:f>
              <c:numCache>
                <c:formatCode>#,##0</c:formatCode>
                <c:ptCount val="26"/>
                <c:pt idx="0">
                  <c:v>0</c:v>
                </c:pt>
                <c:pt idx="1">
                  <c:v>-12221.873394012451</c:v>
                </c:pt>
                <c:pt idx="2">
                  <c:v>-25218.212064504623</c:v>
                </c:pt>
                <c:pt idx="3">
                  <c:v>49116.77051281929</c:v>
                </c:pt>
                <c:pt idx="4">
                  <c:v>6651680.9551584721</c:v>
                </c:pt>
                <c:pt idx="5">
                  <c:v>18466516.983382225</c:v>
                </c:pt>
                <c:pt idx="6">
                  <c:v>14932616.403580427</c:v>
                </c:pt>
                <c:pt idx="7">
                  <c:v>15647524.390582561</c:v>
                </c:pt>
                <c:pt idx="8">
                  <c:v>20089916.272201538</c:v>
                </c:pt>
                <c:pt idx="9">
                  <c:v>24541536.291313648</c:v>
                </c:pt>
                <c:pt idx="10">
                  <c:v>29176031.738914728</c:v>
                </c:pt>
                <c:pt idx="11">
                  <c:v>28123738.037799835</c:v>
                </c:pt>
                <c:pt idx="12">
                  <c:v>25953991.757791519</c:v>
                </c:pt>
                <c:pt idx="13">
                  <c:v>27492418.566175699</c:v>
                </c:pt>
                <c:pt idx="14">
                  <c:v>36018112.074551344</c:v>
                </c:pt>
                <c:pt idx="15">
                  <c:v>31292826.579038858</c:v>
                </c:pt>
                <c:pt idx="16">
                  <c:v>26797867.225622058</c:v>
                </c:pt>
                <c:pt idx="17">
                  <c:v>27393398.512111068</c:v>
                </c:pt>
                <c:pt idx="18">
                  <c:v>29021805.351145625</c:v>
                </c:pt>
                <c:pt idx="19">
                  <c:v>28591258.438809991</c:v>
                </c:pt>
                <c:pt idx="20">
                  <c:v>25487531.800394177</c:v>
                </c:pt>
                <c:pt idx="21">
                  <c:v>23523258.856399894</c:v>
                </c:pt>
                <c:pt idx="22">
                  <c:v>23206693.474102855</c:v>
                </c:pt>
                <c:pt idx="23">
                  <c:v>20730477.920185685</c:v>
                </c:pt>
                <c:pt idx="24">
                  <c:v>16323740.119895697</c:v>
                </c:pt>
                <c:pt idx="25">
                  <c:v>17373843.184556365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6-400D-A8D7-A2EF1F587D73}"/>
            </c:ext>
          </c:extLst>
        </c:ser>
        <c:ser>
          <c:idx val="3"/>
          <c:order val="3"/>
          <c:tx>
            <c:strRef>
              <c:f>'Chart tables'!$B$283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tables'!$C$283:$AB$283</c:f>
              <c:numCache>
                <c:formatCode>#,##0</c:formatCode>
                <c:ptCount val="26"/>
                <c:pt idx="0">
                  <c:v>0</c:v>
                </c:pt>
                <c:pt idx="1">
                  <c:v>-108.64193096011877</c:v>
                </c:pt>
                <c:pt idx="2">
                  <c:v>-222.7426159560855</c:v>
                </c:pt>
                <c:pt idx="3">
                  <c:v>-462.2898065445188</c:v>
                </c:pt>
                <c:pt idx="4">
                  <c:v>-2355.915324258589</c:v>
                </c:pt>
                <c:pt idx="5">
                  <c:v>-2494.3232818794877</c:v>
                </c:pt>
                <c:pt idx="6">
                  <c:v>-2642.3476388906374</c:v>
                </c:pt>
                <c:pt idx="7">
                  <c:v>-2799.8264409863141</c:v>
                </c:pt>
                <c:pt idx="8">
                  <c:v>-2966.6107130794371</c:v>
                </c:pt>
                <c:pt idx="9">
                  <c:v>-3144.5260409639086</c:v>
                </c:pt>
                <c:pt idx="10">
                  <c:v>-3334.2759567327084</c:v>
                </c:pt>
                <c:pt idx="11">
                  <c:v>-3438.6906141468075</c:v>
                </c:pt>
                <c:pt idx="12">
                  <c:v>15879.351300228458</c:v>
                </c:pt>
                <c:pt idx="13">
                  <c:v>-108791.74885511787</c:v>
                </c:pt>
                <c:pt idx="14">
                  <c:v>-109032.75310952972</c:v>
                </c:pt>
                <c:pt idx="15">
                  <c:v>409314.4160559912</c:v>
                </c:pt>
                <c:pt idx="16">
                  <c:v>368773.20893190277</c:v>
                </c:pt>
                <c:pt idx="17">
                  <c:v>395368.47618464602</c:v>
                </c:pt>
                <c:pt idx="18">
                  <c:v>395067.06161746598</c:v>
                </c:pt>
                <c:pt idx="19">
                  <c:v>403704.88214278809</c:v>
                </c:pt>
                <c:pt idx="20">
                  <c:v>403366.31244148937</c:v>
                </c:pt>
                <c:pt idx="21">
                  <c:v>86455.804380113899</c:v>
                </c:pt>
                <c:pt idx="22">
                  <c:v>88990.174297953665</c:v>
                </c:pt>
                <c:pt idx="23">
                  <c:v>55138.740729881625</c:v>
                </c:pt>
                <c:pt idx="24">
                  <c:v>579928.1455197467</c:v>
                </c:pt>
                <c:pt idx="25">
                  <c:v>-1388615.5970696972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6-400D-A8D7-A2EF1F587D73}"/>
            </c:ext>
          </c:extLst>
        </c:ser>
        <c:ser>
          <c:idx val="4"/>
          <c:order val="4"/>
          <c:tx>
            <c:strRef>
              <c:f>'Chart tables'!$B$284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tables'!$C$60:$AB$60</c:f>
              <c:strCache>
                <c:ptCount val="26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  <c:pt idx="20">
                  <c:v>2040-41</c:v>
                </c:pt>
                <c:pt idx="21">
                  <c:v>2041-42</c:v>
                </c:pt>
                <c:pt idx="22">
                  <c:v>2042-43</c:v>
                </c:pt>
                <c:pt idx="23">
                  <c:v>2043-44</c:v>
                </c:pt>
                <c:pt idx="24">
                  <c:v>2044-45</c:v>
                </c:pt>
                <c:pt idx="25">
                  <c:v>2045-46</c:v>
                </c:pt>
              </c:strCache>
            </c:strRef>
          </c:cat>
          <c:val>
            <c:numRef>
              <c:f>'Chart tables'!$C$284:$AB$284</c:f>
              <c:numCache>
                <c:formatCode>#,##0</c:formatCode>
                <c:ptCount val="26"/>
                <c:pt idx="0">
                  <c:v>0</c:v>
                </c:pt>
                <c:pt idx="1">
                  <c:v>-3103.9079592227936</c:v>
                </c:pt>
                <c:pt idx="2">
                  <c:v>-10417.83460354805</c:v>
                </c:pt>
                <c:pt idx="3">
                  <c:v>-709559.92059350014</c:v>
                </c:pt>
                <c:pt idx="4">
                  <c:v>-40744296.923584104</c:v>
                </c:pt>
                <c:pt idx="5">
                  <c:v>-42148781.239828944</c:v>
                </c:pt>
                <c:pt idx="6">
                  <c:v>376419791.39874756</c:v>
                </c:pt>
                <c:pt idx="7">
                  <c:v>246791816.9155246</c:v>
                </c:pt>
                <c:pt idx="8">
                  <c:v>186454216.58445275</c:v>
                </c:pt>
                <c:pt idx="9">
                  <c:v>160685040.91766131</c:v>
                </c:pt>
                <c:pt idx="10">
                  <c:v>259922037.93024409</c:v>
                </c:pt>
                <c:pt idx="11">
                  <c:v>312232241.81008518</c:v>
                </c:pt>
                <c:pt idx="12">
                  <c:v>389812065.69811904</c:v>
                </c:pt>
                <c:pt idx="13">
                  <c:v>383741071.61559188</c:v>
                </c:pt>
                <c:pt idx="14">
                  <c:v>158055724.30214489</c:v>
                </c:pt>
                <c:pt idx="15">
                  <c:v>297084933.39979064</c:v>
                </c:pt>
                <c:pt idx="16">
                  <c:v>337684497.94416082</c:v>
                </c:pt>
                <c:pt idx="17">
                  <c:v>206597882.42671335</c:v>
                </c:pt>
                <c:pt idx="18">
                  <c:v>156984178.17386019</c:v>
                </c:pt>
                <c:pt idx="19">
                  <c:v>175415735.09756064</c:v>
                </c:pt>
                <c:pt idx="20">
                  <c:v>215599833.09845018</c:v>
                </c:pt>
                <c:pt idx="21">
                  <c:v>208800254.11905527</c:v>
                </c:pt>
                <c:pt idx="22">
                  <c:v>189616747.51807165</c:v>
                </c:pt>
                <c:pt idx="23">
                  <c:v>182683168.2134459</c:v>
                </c:pt>
                <c:pt idx="24">
                  <c:v>188101432.43368864</c:v>
                </c:pt>
                <c:pt idx="25">
                  <c:v>173929429.73083603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6-400D-A8D7-A2EF1F58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320472"/>
        <c:axId val="729321784"/>
      </c:barChart>
      <c:catAx>
        <c:axId val="72932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1784"/>
        <c:crosses val="autoZero"/>
        <c:auto val="1"/>
        <c:lblAlgn val="ctr"/>
        <c:lblOffset val="100"/>
        <c:noMultiLvlLbl val="0"/>
      </c:catAx>
      <c:valAx>
        <c:axId val="729321784"/>
        <c:scaling>
          <c:orientation val="minMax"/>
          <c:max val="7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20472"/>
        <c:crosses val="autoZero"/>
        <c:crossBetween val="between"/>
        <c:dispUnits>
          <c:builtInUnit val="millions"/>
        </c:dispUnits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3573498086136"/>
          <c:y val="5.0696436917987989E-2"/>
          <c:w val="0.86266112775143433"/>
          <c:h val="0.5388775033257827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 tables'!$D$109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tables'!$D$256:$D$261</c:f>
              <c:numCache>
                <c:formatCode>#,##0.00</c:formatCode>
                <c:ptCount val="6"/>
                <c:pt idx="0">
                  <c:v>-146.82486483058929</c:v>
                </c:pt>
                <c:pt idx="1">
                  <c:v>-210.72314840101808</c:v>
                </c:pt>
                <c:pt idx="2">
                  <c:v>-273.20917512823519</c:v>
                </c:pt>
                <c:pt idx="3">
                  <c:v>-37.359125191602097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4-4D84-B573-04766B0AC367}"/>
            </c:ext>
          </c:extLst>
        </c:ser>
        <c:ser>
          <c:idx val="2"/>
          <c:order val="2"/>
          <c:tx>
            <c:strRef>
              <c:f>'Chart tables'!$E$109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tables'!$E$256:$E$261</c:f>
              <c:numCache>
                <c:formatCode>#,##0.00</c:formatCode>
                <c:ptCount val="6"/>
                <c:pt idx="0">
                  <c:v>-20.378268720397383</c:v>
                </c:pt>
                <c:pt idx="1">
                  <c:v>-29.263580200381078</c:v>
                </c:pt>
                <c:pt idx="2">
                  <c:v>-37.955732735147741</c:v>
                </c:pt>
                <c:pt idx="3">
                  <c:v>-5.2265185098549329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4-4D84-B573-04766B0AC367}"/>
            </c:ext>
          </c:extLst>
        </c:ser>
        <c:ser>
          <c:idx val="3"/>
          <c:order val="3"/>
          <c:tx>
            <c:strRef>
              <c:f>'Chart tables'!$F$109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tables'!$F$256:$F$261</c:f>
              <c:numCache>
                <c:formatCode>#,##0.00</c:formatCode>
                <c:ptCount val="6"/>
                <c:pt idx="0">
                  <c:v>-0.19893775633900368</c:v>
                </c:pt>
                <c:pt idx="1">
                  <c:v>-0.19893775633900368</c:v>
                </c:pt>
                <c:pt idx="2">
                  <c:v>-0.10296766341496434</c:v>
                </c:pt>
                <c:pt idx="3">
                  <c:v>-0.31031421011599153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4-4D84-B573-04766B0AC367}"/>
            </c:ext>
          </c:extLst>
        </c:ser>
        <c:ser>
          <c:idx val="4"/>
          <c:order val="4"/>
          <c:tx>
            <c:strRef>
              <c:f>'Chart tables'!$G$109</c:f>
              <c:strCache>
                <c:ptCount val="1"/>
                <c:pt idx="0">
                  <c:v>Avoided transmission capex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tables'!$G$256:$G$261</c:f>
              <c:numCache>
                <c:formatCode>#,##0.00</c:formatCode>
                <c:ptCount val="6"/>
                <c:pt idx="0">
                  <c:v>17.061620072424741</c:v>
                </c:pt>
                <c:pt idx="1">
                  <c:v>17.061620072424741</c:v>
                </c:pt>
                <c:pt idx="2">
                  <c:v>18.126311313904871</c:v>
                </c:pt>
                <c:pt idx="3">
                  <c:v>2.4273067018860455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4-4D84-B573-04766B0AC367}"/>
            </c:ext>
          </c:extLst>
        </c:ser>
        <c:ser>
          <c:idx val="5"/>
          <c:order val="5"/>
          <c:tx>
            <c:strRef>
              <c:f>'Chart tables'!$H$109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tables'!$H$256:$H$261</c:f>
              <c:numCache>
                <c:formatCode>#,##0.00</c:formatCode>
                <c:ptCount val="6"/>
                <c:pt idx="0">
                  <c:v>15.849786992000096</c:v>
                </c:pt>
                <c:pt idx="1">
                  <c:v>15.849786992000096</c:v>
                </c:pt>
                <c:pt idx="2">
                  <c:v>22.522171523512057</c:v>
                </c:pt>
                <c:pt idx="3">
                  <c:v>4.5206423432142371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4-4D84-B573-04766B0AC367}"/>
            </c:ext>
          </c:extLst>
        </c:ser>
        <c:ser>
          <c:idx val="6"/>
          <c:order val="6"/>
          <c:tx>
            <c:strRef>
              <c:f>'Chart tables'!$I$109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tables'!$I$256:$I$261</c:f>
              <c:numCache>
                <c:formatCode>#,##0.00</c:formatCode>
                <c:ptCount val="6"/>
                <c:pt idx="0">
                  <c:v>-0.26131849704399757</c:v>
                </c:pt>
                <c:pt idx="1">
                  <c:v>-0.26131849704399757</c:v>
                </c:pt>
                <c:pt idx="2">
                  <c:v>-0.24546511832790091</c:v>
                </c:pt>
                <c:pt idx="3">
                  <c:v>7.6338606401512424E-2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54-4D84-B573-04766B0AC367}"/>
            </c:ext>
          </c:extLst>
        </c:ser>
        <c:ser>
          <c:idx val="7"/>
          <c:order val="7"/>
          <c:tx>
            <c:strRef>
              <c:f>'Chart tables'!$J$109</c:f>
              <c:strCache>
                <c:ptCount val="1"/>
                <c:pt idx="0">
                  <c:v>Avoided generation/storage costs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tables'!$J$256:$J$261</c:f>
              <c:numCache>
                <c:formatCode>#,##0.00</c:formatCode>
                <c:ptCount val="6"/>
                <c:pt idx="0">
                  <c:v>148.48862601182879</c:v>
                </c:pt>
                <c:pt idx="1">
                  <c:v>148.48862601182879</c:v>
                </c:pt>
                <c:pt idx="2">
                  <c:v>155.32119735729157</c:v>
                </c:pt>
                <c:pt idx="3">
                  <c:v>31.922550992488926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54-4D84-B573-04766B0AC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9368360"/>
        <c:axId val="729367048"/>
      </c:barChart>
      <c:scatterChart>
        <c:scatterStyle val="lineMarker"/>
        <c:varyColors val="0"/>
        <c:ser>
          <c:idx val="0"/>
          <c:order val="0"/>
          <c:tx>
            <c:strRef>
              <c:f>'Chart tables'!$C$109</c:f>
              <c:strCache>
                <c:ptCount val="1"/>
                <c:pt idx="0">
                  <c:v>NPV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'Chart tables'!$B$256:$B$261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xVal>
          <c:yVal>
            <c:numRef>
              <c:f>'Chart tables'!$C$256:$C$261</c:f>
              <c:numCache>
                <c:formatCode>#,##0.00</c:formatCode>
                <c:ptCount val="6"/>
                <c:pt idx="0">
                  <c:v>13.736643271883963</c:v>
                </c:pt>
                <c:pt idx="1">
                  <c:v>-59.04695177852853</c:v>
                </c:pt>
                <c:pt idx="2">
                  <c:v>-115.54366045041711</c:v>
                </c:pt>
                <c:pt idx="3">
                  <c:v>-3.9491192675823092</c:v>
                </c:pt>
                <c:pt idx="4">
                  <c:v>-62.631885848719179</c:v>
                </c:pt>
                <c:pt idx="5">
                  <c:v>-27.867301509654695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54-4D84-B573-04766B0AC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368360"/>
        <c:axId val="729367048"/>
      </c:scatterChart>
      <c:catAx>
        <c:axId val="7293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7048"/>
        <c:crosses val="autoZero"/>
        <c:auto val="1"/>
        <c:lblAlgn val="ctr"/>
        <c:lblOffset val="100"/>
        <c:noMultiLvlLbl val="0"/>
      </c:catAx>
      <c:valAx>
        <c:axId val="729367048"/>
        <c:scaling>
          <c:orientation val="minMax"/>
          <c:max val="4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9368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1404669991104027E-3"/>
          <c:y val="0.735928522633301"/>
          <c:w val="0.99285953300088958"/>
          <c:h val="0.2366742170927264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Fast-change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7-427C-AEAF-23E1959DBE22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tables'!$C$232:$C$237</c:f>
              <c:numCache>
                <c:formatCode>#,##0</c:formatCode>
                <c:ptCount val="6"/>
                <c:pt idx="0">
                  <c:v>13.736643271883963</c:v>
                </c:pt>
                <c:pt idx="1">
                  <c:v>-59.04695177852853</c:v>
                </c:pt>
                <c:pt idx="2">
                  <c:v>-115.54366045041711</c:v>
                </c:pt>
                <c:pt idx="3">
                  <c:v>-3.9491192675823092</c:v>
                </c:pt>
                <c:pt idx="4">
                  <c:v>-62.631885848719179</c:v>
                </c:pt>
                <c:pt idx="5">
                  <c:v>-27.867301509654695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7-427C-AEAF-23E1959DB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Central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tables'!$C$13:$C$18</c:f>
              <c:numCache>
                <c:formatCode>#,##0</c:formatCode>
                <c:ptCount val="6"/>
                <c:pt idx="0">
                  <c:v>-65.47473730557455</c:v>
                </c:pt>
                <c:pt idx="1">
                  <c:v>-138.25833235598708</c:v>
                </c:pt>
                <c:pt idx="2">
                  <c:v>-201.00602518582241</c:v>
                </c:pt>
                <c:pt idx="3">
                  <c:v>-16.908021509543975</c:v>
                </c:pt>
                <c:pt idx="4">
                  <c:v>-165.26075073194494</c:v>
                </c:pt>
                <c:pt idx="5">
                  <c:v>-46.536759460817883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4-44C6-BBA7-AD33119D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Slow-change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8-46A6-AEBA-90576808FD7E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tables'!$C$159:$C$164</c:f>
              <c:numCache>
                <c:formatCode>#,##0</c:formatCode>
                <c:ptCount val="6"/>
                <c:pt idx="0">
                  <c:v>23.488158532742986</c:v>
                </c:pt>
                <c:pt idx="1">
                  <c:v>-49.295436517669394</c:v>
                </c:pt>
                <c:pt idx="2">
                  <c:v>-109.94882795587559</c:v>
                </c:pt>
                <c:pt idx="3">
                  <c:v>-14.440635398150526</c:v>
                </c:pt>
                <c:pt idx="4">
                  <c:v>-83.726158194014999</c:v>
                </c:pt>
                <c:pt idx="5">
                  <c:v>-51.362840593969906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0-43E1-A9D5-B84CAEAF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Fast-change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tables'!$C$12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7-427C-AEAF-23E1959DBE22}"/>
              </c:ext>
            </c:extLst>
          </c:dPt>
          <c:cat>
            <c:strRef>
              <c:f>'Chart tables'!$B$13:$B$18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2</c:v>
                </c:pt>
                <c:pt idx="3">
                  <c:v>Option 3</c:v>
                </c:pt>
                <c:pt idx="4">
                  <c:v>Option 4</c:v>
                </c:pt>
                <c:pt idx="5">
                  <c:v>Option 5</c:v>
                </c:pt>
              </c:strCache>
            </c:strRef>
          </c:cat>
          <c:val>
            <c:numRef>
              <c:f>'Chart tables'!$C$232:$C$237</c:f>
              <c:numCache>
                <c:formatCode>#,##0</c:formatCode>
                <c:ptCount val="6"/>
                <c:pt idx="0">
                  <c:v>13.736643271883963</c:v>
                </c:pt>
                <c:pt idx="1">
                  <c:v>-59.04695177852853</c:v>
                </c:pt>
                <c:pt idx="2">
                  <c:v>-115.54366045041711</c:v>
                </c:pt>
                <c:pt idx="3">
                  <c:v>-3.9491192675823092</c:v>
                </c:pt>
                <c:pt idx="4">
                  <c:v>-62.631885848719179</c:v>
                </c:pt>
                <c:pt idx="5">
                  <c:v>-27.867301509654695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7-427C-AEAF-23E1959DB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6647080"/>
        <c:axId val="676644456"/>
      </c:barChart>
      <c:catAx>
        <c:axId val="67664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4456"/>
        <c:crosses val="autoZero"/>
        <c:auto val="1"/>
        <c:lblAlgn val="ctr"/>
        <c:lblOffset val="100"/>
        <c:noMultiLvlLbl val="0"/>
      </c:catAx>
      <c:valAx>
        <c:axId val="676644456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4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64B-477B-9043-44EF91FE5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38A-4228-813D-35A6D5F6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  <c:min val="-3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615-4B26-835D-50EDDE609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000"/>
              <a:t>Central</a:t>
            </a:r>
            <a:r>
              <a:rPr lang="en-AU" sz="1000" baseline="0"/>
              <a:t> estimates of net economic benefits</a:t>
            </a:r>
            <a:endParaRPr lang="en-AU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DCA-45F9-80C0-0CEBB405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  <c:min val="-3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AU" sz="1000" b="0"/>
              <a:t>Low estimates of net economic benefits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'Chart tables'!#REF!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tables'!#REF!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E19-419F-8423-CEA2215B9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593384"/>
        <c:axId val="618590104"/>
      </c:barChart>
      <c:catAx>
        <c:axId val="618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8590104"/>
        <c:crosses val="autoZero"/>
        <c:auto val="1"/>
        <c:lblAlgn val="ctr"/>
        <c:lblOffset val="100"/>
        <c:noMultiLvlLbl val="0"/>
      </c:catAx>
      <c:valAx>
        <c:axId val="618590104"/>
        <c:scaling>
          <c:orientation val="minMax"/>
          <c:max val="7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AU" sz="1000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8593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9</xdr:row>
      <xdr:rowOff>21166</xdr:rowOff>
    </xdr:from>
    <xdr:to>
      <xdr:col>5</xdr:col>
      <xdr:colOff>761999</xdr:colOff>
      <xdr:row>22</xdr:row>
      <xdr:rowOff>92914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454B7AA-2086-403A-841A-4F301145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699" y="1840441"/>
          <a:ext cx="4168775" cy="2576823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463550</xdr:colOff>
      <xdr:row>0</xdr:row>
      <xdr:rowOff>131233</xdr:rowOff>
    </xdr:from>
    <xdr:to>
      <xdr:col>3</xdr:col>
      <xdr:colOff>520700</xdr:colOff>
      <xdr:row>4</xdr:row>
      <xdr:rowOff>105216</xdr:rowOff>
    </xdr:to>
    <xdr:pic>
      <xdr:nvPicPr>
        <xdr:cNvPr id="8" name="Picture 7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79ECF9B1-3DF9-47C7-83E2-0738CF44F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131233"/>
          <a:ext cx="2343150" cy="77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139700</xdr:colOff>
      <xdr:row>0</xdr:row>
      <xdr:rowOff>131233</xdr:rowOff>
    </xdr:from>
    <xdr:to>
      <xdr:col>7</xdr:col>
      <xdr:colOff>758670</xdr:colOff>
      <xdr:row>4</xdr:row>
      <xdr:rowOff>140642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AF44D7-850A-42BA-A194-ED66A9449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251" t="34056" r="23117" b="36360"/>
        <a:stretch/>
      </xdr:blipFill>
      <xdr:spPr>
        <a:xfrm>
          <a:off x="4277783" y="131233"/>
          <a:ext cx="2142970" cy="813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881943</xdr:colOff>
      <xdr:row>18</xdr:row>
      <xdr:rowOff>0</xdr:rowOff>
    </xdr:from>
    <xdr:to>
      <xdr:col>44</xdr:col>
      <xdr:colOff>306388</xdr:colOff>
      <xdr:row>34</xdr:row>
      <xdr:rowOff>51707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3A6351A-C8BE-4E7A-B92D-54C7B9ECD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881943</xdr:colOff>
      <xdr:row>38</xdr:row>
      <xdr:rowOff>0</xdr:rowOff>
    </xdr:from>
    <xdr:to>
      <xdr:col>44</xdr:col>
      <xdr:colOff>306388</xdr:colOff>
      <xdr:row>51</xdr:row>
      <xdr:rowOff>129116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A3CF2A1-EFEE-4E2C-837D-744168725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55</xdr:row>
      <xdr:rowOff>0</xdr:rowOff>
    </xdr:from>
    <xdr:to>
      <xdr:col>44</xdr:col>
      <xdr:colOff>306389</xdr:colOff>
      <xdr:row>68</xdr:row>
      <xdr:rowOff>174978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98F9EDE-FE9B-4E82-95B7-68DD64D46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7</xdr:col>
      <xdr:colOff>786000</xdr:colOff>
      <xdr:row>33</xdr:row>
      <xdr:rowOff>125942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7B1CC8EF-0FC3-4F5A-A97A-982A25047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18</xdr:row>
      <xdr:rowOff>0</xdr:rowOff>
    </xdr:from>
    <xdr:to>
      <xdr:col>16</xdr:col>
      <xdr:colOff>786000</xdr:colOff>
      <xdr:row>33</xdr:row>
      <xdr:rowOff>125942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9B326E6-D020-4931-9B73-453E5F25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18</xdr:row>
      <xdr:rowOff>0</xdr:rowOff>
    </xdr:from>
    <xdr:to>
      <xdr:col>25</xdr:col>
      <xdr:colOff>786000</xdr:colOff>
      <xdr:row>33</xdr:row>
      <xdr:rowOff>122767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5E78B11-0D99-4C42-83E9-5FBBFE59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18</xdr:row>
      <xdr:rowOff>0</xdr:rowOff>
    </xdr:from>
    <xdr:to>
      <xdr:col>34</xdr:col>
      <xdr:colOff>786000</xdr:colOff>
      <xdr:row>33</xdr:row>
      <xdr:rowOff>122767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2F0C5802-6C12-41B4-A11A-58DE5FA30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37</xdr:row>
      <xdr:rowOff>197907</xdr:rowOff>
    </xdr:from>
    <xdr:to>
      <xdr:col>34</xdr:col>
      <xdr:colOff>792350</xdr:colOff>
      <xdr:row>48</xdr:row>
      <xdr:rowOff>145990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36D3C086-5AE9-41DA-93AF-C55FA7EAA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48</xdr:row>
      <xdr:rowOff>134409</xdr:rowOff>
    </xdr:from>
    <xdr:to>
      <xdr:col>34</xdr:col>
      <xdr:colOff>789175</xdr:colOff>
      <xdr:row>59</xdr:row>
      <xdr:rowOff>57092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976987-E4DB-422D-AABB-6514ED01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59</xdr:row>
      <xdr:rowOff>52917</xdr:rowOff>
    </xdr:from>
    <xdr:to>
      <xdr:col>34</xdr:col>
      <xdr:colOff>792350</xdr:colOff>
      <xdr:row>69</xdr:row>
      <xdr:rowOff>173509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640CFEB0-F87B-458B-B9DD-A170B662B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25</xdr:row>
      <xdr:rowOff>3174</xdr:rowOff>
    </xdr:from>
    <xdr:to>
      <xdr:col>13</xdr:col>
      <xdr:colOff>163700</xdr:colOff>
      <xdr:row>40</xdr:row>
      <xdr:rowOff>149424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26B415F-8CFD-470C-8C4F-66C73E92B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69</xdr:row>
      <xdr:rowOff>3174</xdr:rowOff>
    </xdr:from>
    <xdr:to>
      <xdr:col>13</xdr:col>
      <xdr:colOff>163700</xdr:colOff>
      <xdr:row>84</xdr:row>
      <xdr:rowOff>149424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A37223F-288A-45DE-AFC1-3E93A286C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91</xdr:row>
      <xdr:rowOff>0</xdr:rowOff>
    </xdr:from>
    <xdr:to>
      <xdr:col>13</xdr:col>
      <xdr:colOff>160525</xdr:colOff>
      <xdr:row>106</xdr:row>
      <xdr:rowOff>146250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B72B6E6-0435-421C-ABDE-79286387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13</xdr:col>
      <xdr:colOff>154175</xdr:colOff>
      <xdr:row>18</xdr:row>
      <xdr:rowOff>142650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F7DE3A-3653-428B-97CC-6E8F6F29F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47</xdr:row>
      <xdr:rowOff>0</xdr:rowOff>
    </xdr:from>
    <xdr:to>
      <xdr:col>13</xdr:col>
      <xdr:colOff>163700</xdr:colOff>
      <xdr:row>62</xdr:row>
      <xdr:rowOff>146250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B12957-F207-4823-927F-A0924D247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88</xdr:row>
      <xdr:rowOff>0</xdr:rowOff>
    </xdr:from>
    <xdr:to>
      <xdr:col>10</xdr:col>
      <xdr:colOff>270650</xdr:colOff>
      <xdr:row>96</xdr:row>
      <xdr:rowOff>62050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F343381-6399-477E-93BF-37F130F44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101</xdr:row>
      <xdr:rowOff>0</xdr:rowOff>
    </xdr:from>
    <xdr:to>
      <xdr:col>10</xdr:col>
      <xdr:colOff>270650</xdr:colOff>
      <xdr:row>109</xdr:row>
      <xdr:rowOff>150950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E50515F-AAB5-483D-AE70-A70471BC6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117</xdr:row>
      <xdr:rowOff>0</xdr:rowOff>
    </xdr:from>
    <xdr:to>
      <xdr:col>10</xdr:col>
      <xdr:colOff>270650</xdr:colOff>
      <xdr:row>125</xdr:row>
      <xdr:rowOff>62050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D042B93-2AAE-47BD-AC23-B9A2C314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130</xdr:row>
      <xdr:rowOff>0</xdr:rowOff>
    </xdr:from>
    <xdr:to>
      <xdr:col>10</xdr:col>
      <xdr:colOff>270650</xdr:colOff>
      <xdr:row>138</xdr:row>
      <xdr:rowOff>150950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B837ECC9-B114-4BE6-82D4-FC84ED1FD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72</xdr:row>
      <xdr:rowOff>0</xdr:rowOff>
    </xdr:from>
    <xdr:to>
      <xdr:col>10</xdr:col>
      <xdr:colOff>270650</xdr:colOff>
      <xdr:row>80</xdr:row>
      <xdr:rowOff>150950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52981F-0BF8-49B8-B2E8-0A8932F5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59</xdr:row>
      <xdr:rowOff>0</xdr:rowOff>
    </xdr:from>
    <xdr:to>
      <xdr:col>10</xdr:col>
      <xdr:colOff>270650</xdr:colOff>
      <xdr:row>67</xdr:row>
      <xdr:rowOff>62050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7C492EE-4826-4CD3-A84B-B5D87789B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44</xdr:row>
      <xdr:rowOff>0</xdr:rowOff>
    </xdr:from>
    <xdr:to>
      <xdr:col>10</xdr:col>
      <xdr:colOff>630650</xdr:colOff>
      <xdr:row>54</xdr:row>
      <xdr:rowOff>159750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A2D299A-6FB2-4B29-9F5F-7B3067496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630650</xdr:colOff>
      <xdr:row>39</xdr:row>
      <xdr:rowOff>159750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7474F92-B874-48F0-B5AA-65888914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3174</xdr:colOff>
      <xdr:row>14</xdr:row>
      <xdr:rowOff>0</xdr:rowOff>
    </xdr:from>
    <xdr:to>
      <xdr:col>10</xdr:col>
      <xdr:colOff>636999</xdr:colOff>
      <xdr:row>24</xdr:row>
      <xdr:rowOff>159750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323DC91-B392-4E37-96E3-7AE1B283B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66</xdr:row>
      <xdr:rowOff>0</xdr:rowOff>
    </xdr:from>
    <xdr:to>
      <xdr:col>5</xdr:col>
      <xdr:colOff>411350</xdr:colOff>
      <xdr:row>79</xdr:row>
      <xdr:rowOff>139700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BFD5B7-814F-4F00-A391-D5A9DB64C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5</xdr:col>
      <xdr:colOff>411350</xdr:colOff>
      <xdr:row>56</xdr:row>
      <xdr:rowOff>146050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90798B1-ACD4-4C58-B542-1F042812A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411350</xdr:colOff>
      <xdr:row>32</xdr:row>
      <xdr:rowOff>140950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B82C274-6AEB-4082-AE3E-83F33A0BC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5</xdr:col>
      <xdr:colOff>411350</xdr:colOff>
      <xdr:row>152</xdr:row>
      <xdr:rowOff>139700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2F2D778-4028-4544-B2B3-2737C494A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5</xdr:col>
      <xdr:colOff>411350</xdr:colOff>
      <xdr:row>105</xdr:row>
      <xdr:rowOff>140950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0E8FD21-1F3F-4D3B-8554-93AC9E2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411350</xdr:colOff>
      <xdr:row>129</xdr:row>
      <xdr:rowOff>139700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D84F4F8-B236-46FA-B644-CEE92A096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212</xdr:row>
      <xdr:rowOff>0</xdr:rowOff>
    </xdr:from>
    <xdr:to>
      <xdr:col>5</xdr:col>
      <xdr:colOff>411350</xdr:colOff>
      <xdr:row>225</xdr:row>
      <xdr:rowOff>139700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26F32A8-2BA9-4845-8FAA-E56A5FAD7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5</xdr:col>
      <xdr:colOff>411350</xdr:colOff>
      <xdr:row>178</xdr:row>
      <xdr:rowOff>142875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0C06888-AEA9-4C24-AE21-E92E205FA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189</xdr:row>
      <xdr:rowOff>0</xdr:rowOff>
    </xdr:from>
    <xdr:to>
      <xdr:col>5</xdr:col>
      <xdr:colOff>411350</xdr:colOff>
      <xdr:row>202</xdr:row>
      <xdr:rowOff>139700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8329EEF-A8BD-4F40-BFDD-2A77C6534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310</xdr:row>
      <xdr:rowOff>196849</xdr:rowOff>
    </xdr:from>
    <xdr:to>
      <xdr:col>5</xdr:col>
      <xdr:colOff>411350</xdr:colOff>
      <xdr:row>324</xdr:row>
      <xdr:rowOff>140949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C7F36CE-A50C-4C51-9E69-2C1C6C190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335</xdr:row>
      <xdr:rowOff>0</xdr:rowOff>
    </xdr:from>
    <xdr:to>
      <xdr:col>5</xdr:col>
      <xdr:colOff>411350</xdr:colOff>
      <xdr:row>348</xdr:row>
      <xdr:rowOff>139699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FF2694-3194-4B76-84C5-9F68064D3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761999</xdr:colOff>
      <xdr:row>357</xdr:row>
      <xdr:rowOff>0</xdr:rowOff>
    </xdr:from>
    <xdr:to>
      <xdr:col>5</xdr:col>
      <xdr:colOff>411349</xdr:colOff>
      <xdr:row>370</xdr:row>
      <xdr:rowOff>125942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6DC9B57-0465-4A42-BF90-01139CF4D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53974</xdr:colOff>
      <xdr:row>392</xdr:row>
      <xdr:rowOff>190499</xdr:rowOff>
    </xdr:from>
    <xdr:to>
      <xdr:col>5</xdr:col>
      <xdr:colOff>458974</xdr:colOff>
      <xdr:row>406</xdr:row>
      <xdr:rowOff>88899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B77248-B450-42EA-975D-063FBE635C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393</xdr:row>
      <xdr:rowOff>0</xdr:rowOff>
    </xdr:from>
    <xdr:to>
      <xdr:col>15</xdr:col>
      <xdr:colOff>24000</xdr:colOff>
      <xdr:row>406</xdr:row>
      <xdr:rowOff>101600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5C845EB-7047-4EED-B946-BD364CC2F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761999</xdr:colOff>
      <xdr:row>411</xdr:row>
      <xdr:rowOff>0</xdr:rowOff>
    </xdr:from>
    <xdr:to>
      <xdr:col>3</xdr:col>
      <xdr:colOff>404166</xdr:colOff>
      <xdr:row>425</xdr:row>
      <xdr:rowOff>64833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25C3956-0AE1-4BFB-BD27-77A14EED6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761999</xdr:colOff>
      <xdr:row>425</xdr:row>
      <xdr:rowOff>63500</xdr:rowOff>
    </xdr:from>
    <xdr:to>
      <xdr:col>3</xdr:col>
      <xdr:colOff>404166</xdr:colOff>
      <xdr:row>439</xdr:row>
      <xdr:rowOff>128334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010C3B6-7B74-451A-ADB3-2FE392533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402173</xdr:colOff>
      <xdr:row>411</xdr:row>
      <xdr:rowOff>0</xdr:rowOff>
    </xdr:from>
    <xdr:to>
      <xdr:col>8</xdr:col>
      <xdr:colOff>647589</xdr:colOff>
      <xdr:row>425</xdr:row>
      <xdr:rowOff>64833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6F1D729E-EA1A-480B-9187-CC7944CB9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238</xdr:row>
      <xdr:rowOff>0</xdr:rowOff>
    </xdr:from>
    <xdr:to>
      <xdr:col>5</xdr:col>
      <xdr:colOff>411350</xdr:colOff>
      <xdr:row>251</xdr:row>
      <xdr:rowOff>142875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7497C2B-042C-46CD-ADEA-BA78FA905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285</xdr:row>
      <xdr:rowOff>0</xdr:rowOff>
    </xdr:from>
    <xdr:to>
      <xdr:col>5</xdr:col>
      <xdr:colOff>411350</xdr:colOff>
      <xdr:row>298</xdr:row>
      <xdr:rowOff>139700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AF6BB937-CB4D-41AA-9D32-EDBC0F7B4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5</xdr:col>
      <xdr:colOff>411350</xdr:colOff>
      <xdr:row>275</xdr:row>
      <xdr:rowOff>139700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EB2CEFC2-E653-4D45-99C5-CC2B2C99B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402169</xdr:colOff>
      <xdr:row>425</xdr:row>
      <xdr:rowOff>63502</xdr:rowOff>
    </xdr:from>
    <xdr:to>
      <xdr:col>8</xdr:col>
      <xdr:colOff>647585</xdr:colOff>
      <xdr:row>439</xdr:row>
      <xdr:rowOff>128336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8BDFC6F-451A-4838-A43D-5078A852B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749299</xdr:colOff>
      <xdr:row>411</xdr:row>
      <xdr:rowOff>0</xdr:rowOff>
    </xdr:from>
    <xdr:to>
      <xdr:col>3</xdr:col>
      <xdr:colOff>391466</xdr:colOff>
      <xdr:row>425</xdr:row>
      <xdr:rowOff>64833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B0D5AD99-2A5C-4449-9D23-9BC621B94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749299</xdr:colOff>
      <xdr:row>425</xdr:row>
      <xdr:rowOff>25400</xdr:rowOff>
    </xdr:from>
    <xdr:to>
      <xdr:col>3</xdr:col>
      <xdr:colOff>391466</xdr:colOff>
      <xdr:row>439</xdr:row>
      <xdr:rowOff>90234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9C8EDC6-C0FA-4F10-A496-9A77C4638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389469</xdr:colOff>
      <xdr:row>425</xdr:row>
      <xdr:rowOff>25402</xdr:rowOff>
    </xdr:from>
    <xdr:to>
      <xdr:col>8</xdr:col>
      <xdr:colOff>634885</xdr:colOff>
      <xdr:row>439</xdr:row>
      <xdr:rowOff>90236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A1E09E1-52A6-478C-9086-77D9B195C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HoustonKemp\ID2\32C9152D-9D5D-47CF-9748-06E40A752942\0\64000-64999\64990\L\L\Broken%20Hill%20RIT-T%20PADR%20NPV%20model%20(16%20June%202020)%20(ID%2064990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the model"/>
      <sheetName val="Interface and charts"/>
      <sheetName val="Chart tables"/>
      <sheetName val="Option inputs"/>
      <sheetName val="CBA Inputs"/>
      <sheetName val="Calculation"/>
      <sheetName val="Central"/>
      <sheetName val="Low"/>
      <sheetName val="High"/>
      <sheetName val="Weighted"/>
      <sheetName val="Sheet2"/>
      <sheetName val="Sheet1"/>
      <sheetName val="EY input shee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I8">
            <v>5.8999999999999997E-2</v>
          </cell>
        </row>
        <row r="13">
          <cell r="I13" t="e">
            <v>#REF!</v>
          </cell>
        </row>
        <row r="14">
          <cell r="I14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2">
      <a:dk1>
        <a:srgbClr val="425364"/>
      </a:dk1>
      <a:lt1>
        <a:sysClr val="window" lastClr="FFFFFF"/>
      </a:lt1>
      <a:dk2>
        <a:srgbClr val="002395"/>
      </a:dk2>
      <a:lt2>
        <a:srgbClr val="E0E1F1"/>
      </a:lt2>
      <a:accent1>
        <a:srgbClr val="00AB91"/>
      </a:accent1>
      <a:accent2>
        <a:srgbClr val="002395"/>
      </a:accent2>
      <a:accent3>
        <a:srgbClr val="77216F"/>
      </a:accent3>
      <a:accent4>
        <a:srgbClr val="F47721"/>
      </a:accent4>
      <a:accent5>
        <a:srgbClr val="CB1334"/>
      </a:accent5>
      <a:accent6>
        <a:srgbClr val="212F63"/>
      </a:accent6>
      <a:hlink>
        <a:srgbClr val="002395"/>
      </a:hlink>
      <a:folHlink>
        <a:srgbClr val="7721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4.9989318521683403E-2"/>
  </sheetPr>
  <dimension ref="B6:R36"/>
  <sheetViews>
    <sheetView showGridLines="0" workbookViewId="0">
      <selection activeCell="K25" sqref="K25"/>
    </sheetView>
  </sheetViews>
  <sheetFormatPr defaultRowHeight="15" x14ac:dyDescent="0.2"/>
  <cols>
    <col min="4" max="4" width="13.21875" bestFit="1" customWidth="1"/>
    <col min="10" max="10" width="9.21875" style="161"/>
    <col min="11" max="11" width="33.44140625" style="161" bestFit="1" customWidth="1"/>
    <col min="12" max="18" width="9.21875" style="161"/>
  </cols>
  <sheetData>
    <row r="6" spans="2:14" x14ac:dyDescent="0.2">
      <c r="B6" s="3"/>
      <c r="C6" s="3"/>
      <c r="D6" s="3"/>
      <c r="E6" s="3"/>
      <c r="F6" s="3"/>
      <c r="G6" s="3"/>
    </row>
    <row r="7" spans="2:14" ht="15.75" x14ac:dyDescent="0.25">
      <c r="B7" s="30"/>
      <c r="C7" s="3"/>
      <c r="D7" s="3"/>
      <c r="E7" s="3"/>
      <c r="F7" s="3"/>
      <c r="G7" s="3"/>
    </row>
    <row r="8" spans="2:14" ht="21.75" x14ac:dyDescent="0.3">
      <c r="B8" s="31" t="s">
        <v>173</v>
      </c>
      <c r="C8" s="3"/>
      <c r="D8" s="3"/>
      <c r="E8" s="3"/>
      <c r="F8" s="3"/>
    </row>
    <row r="9" spans="2:14" ht="15.75" thickBot="1" x14ac:dyDescent="0.25">
      <c r="J9"/>
      <c r="K9"/>
      <c r="L9"/>
    </row>
    <row r="10" spans="2:14" ht="15.75" x14ac:dyDescent="0.2">
      <c r="I10" s="32" t="s">
        <v>63</v>
      </c>
      <c r="J10" s="33"/>
      <c r="K10" s="34"/>
      <c r="L10"/>
      <c r="M10"/>
      <c r="N10"/>
    </row>
    <row r="11" spans="2:14" x14ac:dyDescent="0.2">
      <c r="I11" s="35" t="s">
        <v>4</v>
      </c>
      <c r="J11" s="36"/>
      <c r="K11" s="37"/>
      <c r="L11"/>
      <c r="M11"/>
      <c r="N11"/>
    </row>
    <row r="12" spans="2:14" x14ac:dyDescent="0.2">
      <c r="I12" s="38" t="s">
        <v>1</v>
      </c>
      <c r="J12" s="39"/>
      <c r="K12" s="37"/>
      <c r="L12"/>
      <c r="M12"/>
      <c r="N12"/>
    </row>
    <row r="13" spans="2:14" x14ac:dyDescent="0.2">
      <c r="I13" s="40" t="s">
        <v>0</v>
      </c>
      <c r="J13" s="41"/>
      <c r="K13" s="37"/>
      <c r="L13"/>
      <c r="M13"/>
      <c r="N13"/>
    </row>
    <row r="14" spans="2:14" ht="15.75" customHeight="1" x14ac:dyDescent="0.2">
      <c r="I14" s="42" t="s">
        <v>2</v>
      </c>
      <c r="J14" s="43"/>
      <c r="K14" s="37"/>
      <c r="L14"/>
      <c r="M14"/>
      <c r="N14"/>
    </row>
    <row r="15" spans="2:14" ht="15.75" thickBot="1" x14ac:dyDescent="0.25">
      <c r="I15" s="44" t="s">
        <v>3</v>
      </c>
      <c r="J15" s="45"/>
      <c r="K15" s="46"/>
      <c r="L15"/>
      <c r="M15"/>
      <c r="N15"/>
    </row>
    <row r="16" spans="2:14" x14ac:dyDescent="0.2">
      <c r="M16"/>
      <c r="N16"/>
    </row>
    <row r="17" spans="2:14" x14ac:dyDescent="0.2">
      <c r="M17"/>
      <c r="N17"/>
    </row>
    <row r="18" spans="2:14" x14ac:dyDescent="0.2">
      <c r="M18"/>
      <c r="N18"/>
    </row>
    <row r="19" spans="2:14" x14ac:dyDescent="0.2">
      <c r="M19"/>
      <c r="N19"/>
    </row>
    <row r="20" spans="2:14" x14ac:dyDescent="0.2">
      <c r="M20"/>
      <c r="N20"/>
    </row>
    <row r="21" spans="2:14" x14ac:dyDescent="0.2">
      <c r="B21" s="161"/>
      <c r="C21" s="161"/>
      <c r="D21" s="161"/>
      <c r="E21" s="161"/>
      <c r="F21" s="161"/>
    </row>
    <row r="22" spans="2:14" x14ac:dyDescent="0.2">
      <c r="B22" s="161"/>
      <c r="C22" s="161"/>
      <c r="D22" s="161"/>
      <c r="E22" s="161"/>
      <c r="F22" s="161"/>
    </row>
    <row r="23" spans="2:14" x14ac:dyDescent="0.2">
      <c r="B23" s="161"/>
      <c r="C23" s="161"/>
      <c r="D23" s="161"/>
      <c r="E23" s="161"/>
      <c r="F23" s="161"/>
    </row>
    <row r="24" spans="2:14" x14ac:dyDescent="0.2">
      <c r="B24" s="161"/>
      <c r="C24" s="161"/>
      <c r="D24" s="161"/>
      <c r="E24" s="161"/>
      <c r="F24" s="161"/>
    </row>
    <row r="25" spans="2:14" ht="30" customHeight="1" x14ac:dyDescent="0.2"/>
    <row r="29" spans="2:14" ht="1.5" customHeight="1" x14ac:dyDescent="0.2"/>
    <row r="32" spans="2:14" ht="46.5" customHeight="1" x14ac:dyDescent="0.2"/>
    <row r="36" ht="30.4" customHeight="1" x14ac:dyDescent="0.2"/>
  </sheetData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AF146"/>
  <sheetViews>
    <sheetView showGridLines="0" zoomScaleNormal="100" workbookViewId="0">
      <selection activeCell="D60" sqref="D60"/>
    </sheetView>
  </sheetViews>
  <sheetFormatPr defaultColWidth="9.21875" defaultRowHeight="15" x14ac:dyDescent="0.2"/>
  <cols>
    <col min="1" max="1" width="9.21875" style="16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5.6640625" style="90" bestFit="1" customWidth="1"/>
    <col min="7" max="7" width="14.44140625" style="161" customWidth="1"/>
    <col min="8" max="31" width="13.6640625" style="161" customWidth="1"/>
    <col min="32" max="32" width="11.88671875" style="161" customWidth="1"/>
    <col min="33" max="16384" width="9.21875" style="161"/>
  </cols>
  <sheetData>
    <row r="1" spans="2:32" ht="18" x14ac:dyDescent="0.25">
      <c r="B1" s="2" t="s">
        <v>151</v>
      </c>
      <c r="C1" s="165"/>
      <c r="D1" s="165"/>
      <c r="E1" s="161"/>
      <c r="F1" s="161"/>
    </row>
    <row r="2" spans="2:32" ht="15.75" x14ac:dyDescent="0.25">
      <c r="B2" s="3" t="s">
        <v>48</v>
      </c>
      <c r="C2" s="165"/>
      <c r="D2" s="165"/>
      <c r="E2" s="161"/>
      <c r="F2" s="29"/>
    </row>
    <row r="3" spans="2:32" ht="15.75" x14ac:dyDescent="0.25">
      <c r="B3" s="161"/>
      <c r="C3" s="165"/>
      <c r="D3" s="165"/>
      <c r="E3" s="161"/>
      <c r="F3" s="150"/>
    </row>
    <row r="4" spans="2:32" ht="21" x14ac:dyDescent="0.35">
      <c r="B4" s="162" t="s">
        <v>52</v>
      </c>
      <c r="C4" s="163"/>
      <c r="D4" s="163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</row>
    <row r="5" spans="2:32" x14ac:dyDescent="0.2">
      <c r="B5" s="161"/>
      <c r="C5" s="165"/>
      <c r="D5" s="165"/>
      <c r="E5" s="161"/>
      <c r="F5" s="126"/>
    </row>
    <row r="6" spans="2:32" ht="15.75" x14ac:dyDescent="0.25">
      <c r="B6" s="166" t="s">
        <v>36</v>
      </c>
      <c r="C6" s="167"/>
      <c r="D6" s="167"/>
      <c r="E6" s="10"/>
      <c r="F6" s="10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</row>
    <row r="7" spans="2:32" ht="15.75" x14ac:dyDescent="0.25">
      <c r="B7" s="168" t="s">
        <v>14</v>
      </c>
      <c r="C7" s="169" t="s">
        <v>13</v>
      </c>
      <c r="D7" s="169"/>
      <c r="E7" s="170" t="s">
        <v>22</v>
      </c>
      <c r="F7" s="170" t="s">
        <v>38</v>
      </c>
      <c r="G7" s="171" t="s">
        <v>103</v>
      </c>
      <c r="H7" s="171" t="s">
        <v>104</v>
      </c>
      <c r="I7" s="171" t="s">
        <v>105</v>
      </c>
      <c r="J7" s="171" t="s">
        <v>106</v>
      </c>
      <c r="K7" s="171" t="s">
        <v>107</v>
      </c>
      <c r="L7" s="171" t="s">
        <v>108</v>
      </c>
      <c r="M7" s="171" t="s">
        <v>109</v>
      </c>
      <c r="N7" s="171" t="s">
        <v>110</v>
      </c>
      <c r="O7" s="171" t="s">
        <v>111</v>
      </c>
      <c r="P7" s="171" t="s">
        <v>112</v>
      </c>
      <c r="Q7" s="171" t="s">
        <v>113</v>
      </c>
      <c r="R7" s="171" t="s">
        <v>114</v>
      </c>
      <c r="S7" s="171" t="s">
        <v>115</v>
      </c>
      <c r="T7" s="171" t="s">
        <v>116</v>
      </c>
      <c r="U7" s="171" t="s">
        <v>117</v>
      </c>
      <c r="V7" s="171" t="s">
        <v>118</v>
      </c>
      <c r="W7" s="171" t="s">
        <v>119</v>
      </c>
      <c r="X7" s="171" t="s">
        <v>120</v>
      </c>
      <c r="Y7" s="171" t="s">
        <v>121</v>
      </c>
      <c r="Z7" s="171" t="s">
        <v>122</v>
      </c>
      <c r="AA7" s="171" t="s">
        <v>123</v>
      </c>
      <c r="AB7" s="171" t="s">
        <v>124</v>
      </c>
      <c r="AC7" s="171" t="s">
        <v>125</v>
      </c>
      <c r="AD7" s="171" t="s">
        <v>126</v>
      </c>
      <c r="AE7" s="171" t="s">
        <v>127</v>
      </c>
      <c r="AF7" s="171" t="s">
        <v>153</v>
      </c>
    </row>
    <row r="8" spans="2:32" x14ac:dyDescent="0.2">
      <c r="B8" s="172">
        <v>1</v>
      </c>
      <c r="C8" s="13" t="s">
        <v>96</v>
      </c>
      <c r="D8" s="164"/>
      <c r="E8" s="173" t="s">
        <v>35</v>
      </c>
      <c r="F8" s="21">
        <v>158523640.86615264</v>
      </c>
      <c r="G8" s="20">
        <v>0</v>
      </c>
      <c r="H8" s="20">
        <v>8214238.4653268829</v>
      </c>
      <c r="I8" s="20">
        <v>131882966.77951123</v>
      </c>
      <c r="J8" s="20">
        <v>-23501396.547637135</v>
      </c>
      <c r="K8" s="20">
        <v>-93544986.141059965</v>
      </c>
      <c r="L8" s="20">
        <v>75126275.855051577</v>
      </c>
      <c r="M8" s="20">
        <v>544834139.24523616</v>
      </c>
      <c r="N8" s="20">
        <v>-143351019.77905965</v>
      </c>
      <c r="O8" s="20">
        <v>13128243.206232369</v>
      </c>
      <c r="P8" s="20">
        <v>-231359622.5243693</v>
      </c>
      <c r="Q8" s="20">
        <v>-583892179.75439799</v>
      </c>
      <c r="R8" s="20">
        <v>11885072.770450264</v>
      </c>
      <c r="S8" s="20">
        <v>537694354.8810432</v>
      </c>
      <c r="T8" s="20">
        <v>-149699961.73065519</v>
      </c>
      <c r="U8" s="20">
        <v>21598234.507147882</v>
      </c>
      <c r="V8" s="20">
        <v>-48670176.002607092</v>
      </c>
      <c r="W8" s="20">
        <v>118976736.18878093</v>
      </c>
      <c r="X8" s="20">
        <v>-14027925.905946687</v>
      </c>
      <c r="Y8" s="20">
        <v>-25086436.041920427</v>
      </c>
      <c r="Z8" s="20">
        <v>22989715.835562684</v>
      </c>
      <c r="AA8" s="20">
        <v>-23090771.225815047</v>
      </c>
      <c r="AB8" s="20">
        <v>-19825283.424566623</v>
      </c>
      <c r="AC8" s="20">
        <v>12225194.606500605</v>
      </c>
      <c r="AD8" s="20">
        <v>-13607621.985239629</v>
      </c>
      <c r="AE8" s="20">
        <v>-5287217.5936332941</v>
      </c>
      <c r="AF8" s="20">
        <v>117616011.36155318</v>
      </c>
    </row>
    <row r="9" spans="2:32" x14ac:dyDescent="0.2">
      <c r="B9" s="172">
        <v>2</v>
      </c>
      <c r="C9" s="13" t="s">
        <v>97</v>
      </c>
      <c r="D9" s="164"/>
      <c r="E9" s="173" t="s">
        <v>35</v>
      </c>
      <c r="F9" s="21">
        <v>85740045.815740108</v>
      </c>
      <c r="G9" s="20">
        <v>0</v>
      </c>
      <c r="H9" s="20">
        <v>-14785761.53467311</v>
      </c>
      <c r="I9" s="20">
        <v>108882966.77951123</v>
      </c>
      <c r="J9" s="20">
        <v>-46501396.547637135</v>
      </c>
      <c r="K9" s="20">
        <v>-117464986.14105995</v>
      </c>
      <c r="L9" s="20">
        <v>74206275.855051577</v>
      </c>
      <c r="M9" s="20">
        <v>543914139.24523616</v>
      </c>
      <c r="N9" s="20">
        <v>-144271019.77905965</v>
      </c>
      <c r="O9" s="20">
        <v>12208243.206232369</v>
      </c>
      <c r="P9" s="20">
        <v>-232279622.5243693</v>
      </c>
      <c r="Q9" s="20">
        <v>-584812179.75439799</v>
      </c>
      <c r="R9" s="20">
        <v>10965072.770450264</v>
      </c>
      <c r="S9" s="20">
        <v>536774354.88104314</v>
      </c>
      <c r="T9" s="20">
        <v>-150619961.73065519</v>
      </c>
      <c r="U9" s="20">
        <v>20678234.507147882</v>
      </c>
      <c r="V9" s="20">
        <v>-49590176.002607092</v>
      </c>
      <c r="W9" s="20">
        <v>118056736.18878093</v>
      </c>
      <c r="X9" s="20">
        <v>-14947925.905946687</v>
      </c>
      <c r="Y9" s="20">
        <v>-26006436.041920427</v>
      </c>
      <c r="Z9" s="20">
        <v>22069715.835562684</v>
      </c>
      <c r="AA9" s="20">
        <v>-24010771.225815047</v>
      </c>
      <c r="AB9" s="20">
        <v>-20745283.424566623</v>
      </c>
      <c r="AC9" s="20">
        <v>11305194.606500605</v>
      </c>
      <c r="AD9" s="20">
        <v>-14527621.985239629</v>
      </c>
      <c r="AE9" s="20">
        <v>-6207217.5936332941</v>
      </c>
      <c r="AF9" s="20">
        <v>167886011.36155316</v>
      </c>
    </row>
    <row r="10" spans="2:32" x14ac:dyDescent="0.2">
      <c r="B10" s="172">
        <v>3</v>
      </c>
      <c r="C10" s="13" t="s">
        <v>98</v>
      </c>
      <c r="D10" s="164"/>
      <c r="E10" s="173" t="s">
        <v>35</v>
      </c>
      <c r="F10" s="21">
        <v>37554318.315618269</v>
      </c>
      <c r="G10" s="20">
        <v>0</v>
      </c>
      <c r="H10" s="20">
        <v>-36394334.717012674</v>
      </c>
      <c r="I10" s="20">
        <v>92062664.388182491</v>
      </c>
      <c r="J10" s="20">
        <v>-68314955.604640305</v>
      </c>
      <c r="K10" s="20">
        <v>-139978681.60213748</v>
      </c>
      <c r="L10" s="20">
        <v>79093840.542059198</v>
      </c>
      <c r="M10" s="20">
        <v>550802534.49246264</v>
      </c>
      <c r="N10" s="20">
        <v>-144844589.88050729</v>
      </c>
      <c r="O10" s="20">
        <v>32342143.110869914</v>
      </c>
      <c r="P10" s="20">
        <v>-239356358.21528116</v>
      </c>
      <c r="Q10" s="20">
        <v>-603391522.95132971</v>
      </c>
      <c r="R10" s="20">
        <v>11511982.630869996</v>
      </c>
      <c r="S10" s="20">
        <v>544193456.94079971</v>
      </c>
      <c r="T10" s="20">
        <v>-144356360.10792479</v>
      </c>
      <c r="U10" s="20">
        <v>20195400.842736952</v>
      </c>
      <c r="V10" s="20">
        <v>-67045904.569852114</v>
      </c>
      <c r="W10" s="20">
        <v>126892146.32324272</v>
      </c>
      <c r="X10" s="20">
        <v>-11477677.030154809</v>
      </c>
      <c r="Y10" s="20">
        <v>-25789473.087814305</v>
      </c>
      <c r="Z10" s="20">
        <v>27109009.228238501</v>
      </c>
      <c r="AA10" s="20">
        <v>-25554485.95321263</v>
      </c>
      <c r="AB10" s="20">
        <v>-30716972.863718793</v>
      </c>
      <c r="AC10" s="20">
        <v>11703976.836385228</v>
      </c>
      <c r="AD10" s="20">
        <v>-13133493.7353728</v>
      </c>
      <c r="AE10" s="20">
        <v>-7732575.5896462426</v>
      </c>
      <c r="AF10" s="20">
        <v>217437769.24388033</v>
      </c>
    </row>
    <row r="11" spans="2:32" x14ac:dyDescent="0.2">
      <c r="B11" s="172">
        <v>4</v>
      </c>
      <c r="C11" s="13" t="s">
        <v>99</v>
      </c>
      <c r="D11" s="164"/>
      <c r="E11" s="173" t="s">
        <v>35</v>
      </c>
      <c r="F11" s="21">
        <v>8573474.8436076585</v>
      </c>
      <c r="G11" s="20">
        <v>0</v>
      </c>
      <c r="H11" s="20">
        <v>-2570048.0373683348</v>
      </c>
      <c r="I11" s="20">
        <v>-33217996.080265608</v>
      </c>
      <c r="J11" s="20">
        <v>11860294.691281032</v>
      </c>
      <c r="K11" s="20">
        <v>5032587.421840474</v>
      </c>
      <c r="L11" s="20">
        <v>9364911.9435301609</v>
      </c>
      <c r="M11" s="20">
        <v>99669223.224846765</v>
      </c>
      <c r="N11" s="20">
        <v>-48231444.679102093</v>
      </c>
      <c r="O11" s="20">
        <v>-29641614.708133072</v>
      </c>
      <c r="P11" s="20">
        <v>9685086.7927303202</v>
      </c>
      <c r="Q11" s="20">
        <v>-52680558.502825573</v>
      </c>
      <c r="R11" s="20">
        <v>-6453944.2007211391</v>
      </c>
      <c r="S11" s="20">
        <v>68301957.696641222</v>
      </c>
      <c r="T11" s="20">
        <v>2207263.7513187705</v>
      </c>
      <c r="U11" s="20">
        <v>-234704.23088738605</v>
      </c>
      <c r="V11" s="20">
        <v>-12782037.951651502</v>
      </c>
      <c r="W11" s="20">
        <v>-10759035.756469924</v>
      </c>
      <c r="X11" s="20">
        <v>6402362.2574826386</v>
      </c>
      <c r="Y11" s="20">
        <v>228338.70154467877</v>
      </c>
      <c r="Z11" s="20">
        <v>-5145711.3529149853</v>
      </c>
      <c r="AA11" s="20">
        <v>-478810.31557676895</v>
      </c>
      <c r="AB11" s="20">
        <v>-6515678.7791962922</v>
      </c>
      <c r="AC11" s="20">
        <v>-6607500.3708578013</v>
      </c>
      <c r="AD11" s="20">
        <v>3286494.1812778246</v>
      </c>
      <c r="AE11" s="20">
        <v>-1511195.5586539879</v>
      </c>
      <c r="AF11" s="20">
        <v>20851164.266660944</v>
      </c>
    </row>
    <row r="12" spans="2:32" x14ac:dyDescent="0.2">
      <c r="B12" s="172">
        <v>5</v>
      </c>
      <c r="C12" s="13" t="s">
        <v>100</v>
      </c>
      <c r="D12" s="164"/>
      <c r="E12" s="173" t="s">
        <v>35</v>
      </c>
      <c r="F12" s="21">
        <v>135583797.09853283</v>
      </c>
      <c r="G12" s="265" t="s">
        <v>240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2:32" x14ac:dyDescent="0.2">
      <c r="B13" s="172">
        <v>6</v>
      </c>
      <c r="C13" s="13" t="s">
        <v>174</v>
      </c>
      <c r="D13" s="164"/>
      <c r="E13" s="173" t="s">
        <v>35</v>
      </c>
      <c r="F13" s="21">
        <v>10261580.917536249</v>
      </c>
      <c r="G13" s="265" t="s">
        <v>240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2:32" x14ac:dyDescent="0.2">
      <c r="B14" s="161"/>
      <c r="C14" s="165"/>
      <c r="D14" s="165"/>
      <c r="E14" s="161"/>
      <c r="F14" s="12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</row>
    <row r="15" spans="2:32" ht="15.75" x14ac:dyDescent="0.25">
      <c r="B15" s="166" t="s">
        <v>76</v>
      </c>
      <c r="C15" s="167"/>
      <c r="D15" s="167"/>
      <c r="E15" s="10"/>
      <c r="F15" s="1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2:32" ht="15.75" x14ac:dyDescent="0.25">
      <c r="B16" s="168" t="s">
        <v>14</v>
      </c>
      <c r="C16" s="169" t="s">
        <v>13</v>
      </c>
      <c r="D16" s="169"/>
      <c r="E16" s="170" t="s">
        <v>22</v>
      </c>
      <c r="F16" s="170" t="s">
        <v>37</v>
      </c>
      <c r="G16" s="171" t="s">
        <v>103</v>
      </c>
      <c r="H16" s="171" t="s">
        <v>104</v>
      </c>
      <c r="I16" s="171" t="s">
        <v>105</v>
      </c>
      <c r="J16" s="171" t="s">
        <v>106</v>
      </c>
      <c r="K16" s="171" t="s">
        <v>107</v>
      </c>
      <c r="L16" s="171" t="s">
        <v>108</v>
      </c>
      <c r="M16" s="171" t="s">
        <v>109</v>
      </c>
      <c r="N16" s="171" t="s">
        <v>110</v>
      </c>
      <c r="O16" s="171" t="s">
        <v>111</v>
      </c>
      <c r="P16" s="171" t="s">
        <v>112</v>
      </c>
      <c r="Q16" s="171" t="s">
        <v>113</v>
      </c>
      <c r="R16" s="171" t="s">
        <v>114</v>
      </c>
      <c r="S16" s="171" t="s">
        <v>115</v>
      </c>
      <c r="T16" s="171" t="s">
        <v>116</v>
      </c>
      <c r="U16" s="171" t="s">
        <v>117</v>
      </c>
      <c r="V16" s="171" t="s">
        <v>118</v>
      </c>
      <c r="W16" s="171" t="s">
        <v>119</v>
      </c>
      <c r="X16" s="171" t="s">
        <v>120</v>
      </c>
      <c r="Y16" s="171" t="s">
        <v>121</v>
      </c>
      <c r="Z16" s="171" t="s">
        <v>122</v>
      </c>
      <c r="AA16" s="171" t="s">
        <v>123</v>
      </c>
      <c r="AB16" s="171" t="s">
        <v>124</v>
      </c>
      <c r="AC16" s="171" t="s">
        <v>125</v>
      </c>
      <c r="AD16" s="171" t="s">
        <v>126</v>
      </c>
      <c r="AE16" s="171" t="s">
        <v>127</v>
      </c>
      <c r="AF16" s="171" t="s">
        <v>153</v>
      </c>
    </row>
    <row r="17" spans="2:32" x14ac:dyDescent="0.2">
      <c r="B17" s="172">
        <v>1</v>
      </c>
      <c r="C17" s="13" t="s">
        <v>96</v>
      </c>
      <c r="D17" s="164"/>
      <c r="E17" s="173" t="s">
        <v>35</v>
      </c>
      <c r="F17" s="21">
        <v>325726774.41713923</v>
      </c>
      <c r="G17" s="20">
        <v>0</v>
      </c>
      <c r="H17" s="20">
        <v>60964238.465326883</v>
      </c>
      <c r="I17" s="20">
        <v>184632966.77951124</v>
      </c>
      <c r="J17" s="20">
        <v>29248603.452362865</v>
      </c>
      <c r="K17" s="20">
        <v>-38684986.141059957</v>
      </c>
      <c r="L17" s="20">
        <v>77236275.855051577</v>
      </c>
      <c r="M17" s="20">
        <v>546944139.24523616</v>
      </c>
      <c r="N17" s="20">
        <v>-141241019.77905965</v>
      </c>
      <c r="O17" s="20">
        <v>15238243.206232369</v>
      </c>
      <c r="P17" s="20">
        <v>-229249622.5243693</v>
      </c>
      <c r="Q17" s="20">
        <v>-581782179.75439799</v>
      </c>
      <c r="R17" s="20">
        <v>13995072.770450264</v>
      </c>
      <c r="S17" s="20">
        <v>539804354.8810432</v>
      </c>
      <c r="T17" s="20">
        <v>-147589961.73065519</v>
      </c>
      <c r="U17" s="20">
        <v>23708234.507147882</v>
      </c>
      <c r="V17" s="20">
        <v>-46560176.002607092</v>
      </c>
      <c r="W17" s="20">
        <v>121086736.18878095</v>
      </c>
      <c r="X17" s="20">
        <v>-11917925.905946687</v>
      </c>
      <c r="Y17" s="20">
        <v>-22976436.041920427</v>
      </c>
      <c r="Z17" s="20">
        <v>25099715.83556268</v>
      </c>
      <c r="AA17" s="20">
        <v>-20980771.225815047</v>
      </c>
      <c r="AB17" s="20">
        <v>-17715283.424566623</v>
      </c>
      <c r="AC17" s="20">
        <v>14335194.606500605</v>
      </c>
      <c r="AD17" s="20">
        <v>-11497621.985239629</v>
      </c>
      <c r="AE17" s="20">
        <v>-3177217.593633295</v>
      </c>
      <c r="AF17" s="20">
        <v>3546011.3615531693</v>
      </c>
    </row>
    <row r="18" spans="2:32" x14ac:dyDescent="0.2">
      <c r="B18" s="172">
        <v>2</v>
      </c>
      <c r="C18" s="13" t="s">
        <v>97</v>
      </c>
      <c r="D18" s="164"/>
      <c r="E18" s="173" t="s">
        <v>35</v>
      </c>
      <c r="F18" s="21">
        <v>325726774.41713923</v>
      </c>
      <c r="G18" s="20">
        <v>0</v>
      </c>
      <c r="H18" s="20">
        <v>60964238.465326883</v>
      </c>
      <c r="I18" s="20">
        <v>184632966.77951124</v>
      </c>
      <c r="J18" s="20">
        <v>29248603.452362865</v>
      </c>
      <c r="K18" s="20">
        <v>-38684986.141059957</v>
      </c>
      <c r="L18" s="20">
        <v>77236275.855051577</v>
      </c>
      <c r="M18" s="20">
        <v>546944139.24523616</v>
      </c>
      <c r="N18" s="20">
        <v>-141241019.77905965</v>
      </c>
      <c r="O18" s="20">
        <v>15238243.206232369</v>
      </c>
      <c r="P18" s="20">
        <v>-229249622.5243693</v>
      </c>
      <c r="Q18" s="20">
        <v>-581782179.75439799</v>
      </c>
      <c r="R18" s="20">
        <v>13995072.770450264</v>
      </c>
      <c r="S18" s="20">
        <v>539804354.8810432</v>
      </c>
      <c r="T18" s="20">
        <v>-147589961.73065519</v>
      </c>
      <c r="U18" s="20">
        <v>23708234.507147882</v>
      </c>
      <c r="V18" s="20">
        <v>-46560176.002607092</v>
      </c>
      <c r="W18" s="20">
        <v>121086736.18878095</v>
      </c>
      <c r="X18" s="20">
        <v>-11917925.905946687</v>
      </c>
      <c r="Y18" s="20">
        <v>-22976436.041920427</v>
      </c>
      <c r="Z18" s="20">
        <v>25099715.83556268</v>
      </c>
      <c r="AA18" s="20">
        <v>-20980771.225815047</v>
      </c>
      <c r="AB18" s="20">
        <v>-17715283.424566623</v>
      </c>
      <c r="AC18" s="20">
        <v>14335194.606500605</v>
      </c>
      <c r="AD18" s="20">
        <v>-11497621.985239629</v>
      </c>
      <c r="AE18" s="20">
        <v>-3177217.593633295</v>
      </c>
      <c r="AF18" s="20">
        <v>3546011.3615531693</v>
      </c>
    </row>
    <row r="19" spans="2:32" x14ac:dyDescent="0.2">
      <c r="B19" s="172">
        <v>3</v>
      </c>
      <c r="C19" s="13" t="s">
        <v>98</v>
      </c>
      <c r="D19" s="164"/>
      <c r="E19" s="173" t="s">
        <v>35</v>
      </c>
      <c r="F19" s="21">
        <v>348719226.17900115</v>
      </c>
      <c r="G19" s="20">
        <v>0</v>
      </c>
      <c r="H19" s="20">
        <v>61855665.282987326</v>
      </c>
      <c r="I19" s="20">
        <v>190312664.38818249</v>
      </c>
      <c r="J19" s="20">
        <v>29935044.395359691</v>
      </c>
      <c r="K19" s="20">
        <v>-37798681.602137484</v>
      </c>
      <c r="L19" s="20">
        <v>83023840.542059198</v>
      </c>
      <c r="M19" s="20">
        <v>554732534.49246264</v>
      </c>
      <c r="N19" s="20">
        <v>-140914589.88050729</v>
      </c>
      <c r="O19" s="20">
        <v>36272143.110869914</v>
      </c>
      <c r="P19" s="20">
        <v>-235426358.21528116</v>
      </c>
      <c r="Q19" s="20">
        <v>-599461522.95132971</v>
      </c>
      <c r="R19" s="20">
        <v>15441982.63087</v>
      </c>
      <c r="S19" s="20">
        <v>548123456.94079971</v>
      </c>
      <c r="T19" s="20">
        <v>-140426360.10792479</v>
      </c>
      <c r="U19" s="20">
        <v>24125400.842736952</v>
      </c>
      <c r="V19" s="20">
        <v>-63115904.569852114</v>
      </c>
      <c r="W19" s="20">
        <v>130822146.32324272</v>
      </c>
      <c r="X19" s="20">
        <v>-7547677.0301548094</v>
      </c>
      <c r="Y19" s="20">
        <v>-21859473.087814305</v>
      </c>
      <c r="Z19" s="20">
        <v>31039009.228238497</v>
      </c>
      <c r="AA19" s="20">
        <v>-21624485.95321263</v>
      </c>
      <c r="AB19" s="20">
        <v>-26786972.863718793</v>
      </c>
      <c r="AC19" s="20">
        <v>15633976.836385228</v>
      </c>
      <c r="AD19" s="20">
        <v>-9203493.7353728004</v>
      </c>
      <c r="AE19" s="20">
        <v>-3802575.589646243</v>
      </c>
      <c r="AF19" s="20">
        <v>3817769.2438803143</v>
      </c>
    </row>
    <row r="20" spans="2:32" x14ac:dyDescent="0.2">
      <c r="B20" s="172">
        <v>4</v>
      </c>
      <c r="C20" s="13" t="s">
        <v>99</v>
      </c>
      <c r="D20" s="164"/>
      <c r="E20" s="173" t="s">
        <v>35</v>
      </c>
      <c r="F20" s="21">
        <v>51159118.545064725</v>
      </c>
      <c r="G20" s="20">
        <v>0</v>
      </c>
      <c r="H20" s="20">
        <v>14096618.629298333</v>
      </c>
      <c r="I20" s="20">
        <v>-16551329.413598944</v>
      </c>
      <c r="J20" s="20">
        <v>29026961.357947696</v>
      </c>
      <c r="K20" s="20">
        <v>5532587.421840474</v>
      </c>
      <c r="L20" s="20">
        <v>9864911.9435301609</v>
      </c>
      <c r="M20" s="20">
        <v>100169223.22484677</v>
      </c>
      <c r="N20" s="20">
        <v>-47731444.679102093</v>
      </c>
      <c r="O20" s="20">
        <v>-29141614.708133072</v>
      </c>
      <c r="P20" s="20">
        <v>10185086.79273032</v>
      </c>
      <c r="Q20" s="20">
        <v>-52180558.502825573</v>
      </c>
      <c r="R20" s="20">
        <v>-5953944.2007211391</v>
      </c>
      <c r="S20" s="20">
        <v>68801957.696641222</v>
      </c>
      <c r="T20" s="20">
        <v>2707263.7513187709</v>
      </c>
      <c r="U20" s="20">
        <v>265295.76911261398</v>
      </c>
      <c r="V20" s="20">
        <v>-12282037.951651502</v>
      </c>
      <c r="W20" s="20">
        <v>-10259035.756469924</v>
      </c>
      <c r="X20" s="20">
        <v>6902362.2574826395</v>
      </c>
      <c r="Y20" s="20">
        <v>728338.70154467877</v>
      </c>
      <c r="Z20" s="20">
        <v>-4645711.3529149853</v>
      </c>
      <c r="AA20" s="20">
        <v>21189.684423231171</v>
      </c>
      <c r="AB20" s="20">
        <v>-6015678.7791962922</v>
      </c>
      <c r="AC20" s="20">
        <v>-6107500.3708578013</v>
      </c>
      <c r="AD20" s="20">
        <v>3786494.1812778246</v>
      </c>
      <c r="AE20" s="20">
        <v>-1011195.5586539879</v>
      </c>
      <c r="AF20" s="20">
        <v>101164.26666094497</v>
      </c>
    </row>
    <row r="21" spans="2:32" x14ac:dyDescent="0.2">
      <c r="B21" s="172">
        <v>5</v>
      </c>
      <c r="C21" s="13" t="s">
        <v>100</v>
      </c>
      <c r="D21" s="164"/>
      <c r="E21" s="173" t="s">
        <v>35</v>
      </c>
      <c r="F21" s="21"/>
      <c r="G21" s="265" t="s">
        <v>240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2:32" x14ac:dyDescent="0.2">
      <c r="B22" s="172">
        <v>6</v>
      </c>
      <c r="C22" s="13" t="s">
        <v>174</v>
      </c>
      <c r="D22" s="164"/>
      <c r="E22" s="173" t="s">
        <v>35</v>
      </c>
      <c r="F22" s="21"/>
      <c r="G22" s="265" t="s">
        <v>240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2:32" x14ac:dyDescent="0.2">
      <c r="B23" s="161"/>
      <c r="C23" s="165"/>
      <c r="D23" s="165"/>
      <c r="E23" s="161"/>
      <c r="F23" s="161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</row>
    <row r="24" spans="2:32" ht="15.75" x14ac:dyDescent="0.25">
      <c r="B24" s="166" t="s">
        <v>77</v>
      </c>
      <c r="C24" s="167"/>
      <c r="D24" s="167"/>
      <c r="E24" s="10"/>
      <c r="F24" s="1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2:32" ht="15.75" x14ac:dyDescent="0.25">
      <c r="B25" s="168" t="s">
        <v>14</v>
      </c>
      <c r="C25" s="169" t="s">
        <v>13</v>
      </c>
      <c r="D25" s="169"/>
      <c r="E25" s="170" t="s">
        <v>22</v>
      </c>
      <c r="F25" s="170" t="s">
        <v>37</v>
      </c>
      <c r="G25" s="171" t="s">
        <v>103</v>
      </c>
      <c r="H25" s="171" t="s">
        <v>104</v>
      </c>
      <c r="I25" s="171" t="s">
        <v>105</v>
      </c>
      <c r="J25" s="171" t="s">
        <v>106</v>
      </c>
      <c r="K25" s="171" t="s">
        <v>107</v>
      </c>
      <c r="L25" s="171" t="s">
        <v>108</v>
      </c>
      <c r="M25" s="171" t="s">
        <v>109</v>
      </c>
      <c r="N25" s="171" t="s">
        <v>110</v>
      </c>
      <c r="O25" s="171" t="s">
        <v>111</v>
      </c>
      <c r="P25" s="171" t="s">
        <v>112</v>
      </c>
      <c r="Q25" s="171" t="s">
        <v>113</v>
      </c>
      <c r="R25" s="171" t="s">
        <v>114</v>
      </c>
      <c r="S25" s="171" t="s">
        <v>115</v>
      </c>
      <c r="T25" s="171" t="s">
        <v>116</v>
      </c>
      <c r="U25" s="171" t="s">
        <v>117</v>
      </c>
      <c r="V25" s="171" t="s">
        <v>118</v>
      </c>
      <c r="W25" s="171" t="s">
        <v>119</v>
      </c>
      <c r="X25" s="171" t="s">
        <v>120</v>
      </c>
      <c r="Y25" s="171" t="s">
        <v>121</v>
      </c>
      <c r="Z25" s="171" t="s">
        <v>122</v>
      </c>
      <c r="AA25" s="171" t="s">
        <v>123</v>
      </c>
      <c r="AB25" s="171" t="s">
        <v>124</v>
      </c>
      <c r="AC25" s="171" t="s">
        <v>125</v>
      </c>
      <c r="AD25" s="171" t="s">
        <v>126</v>
      </c>
      <c r="AE25" s="171" t="s">
        <v>127</v>
      </c>
      <c r="AF25" s="171" t="s">
        <v>153</v>
      </c>
    </row>
    <row r="26" spans="2:32" x14ac:dyDescent="0.2">
      <c r="B26" s="172">
        <v>1</v>
      </c>
      <c r="C26" s="13" t="s">
        <v>96</v>
      </c>
      <c r="D26" s="164"/>
      <c r="E26" s="173" t="s">
        <v>35</v>
      </c>
      <c r="F26" s="21">
        <v>-167203133.55098665</v>
      </c>
      <c r="G26" s="20">
        <v>0</v>
      </c>
      <c r="H26" s="20">
        <v>-52750000</v>
      </c>
      <c r="I26" s="20">
        <v>-52750000</v>
      </c>
      <c r="J26" s="20">
        <v>-52750000</v>
      </c>
      <c r="K26" s="20">
        <v>-54860000</v>
      </c>
      <c r="L26" s="20">
        <v>-2110000</v>
      </c>
      <c r="M26" s="20">
        <v>-2110000</v>
      </c>
      <c r="N26" s="20">
        <v>-2110000</v>
      </c>
      <c r="O26" s="20">
        <v>-2110000</v>
      </c>
      <c r="P26" s="20">
        <v>-2110000</v>
      </c>
      <c r="Q26" s="20">
        <v>-2110000</v>
      </c>
      <c r="R26" s="20">
        <v>-2110000</v>
      </c>
      <c r="S26" s="20">
        <v>-2110000</v>
      </c>
      <c r="T26" s="20">
        <v>-2110000</v>
      </c>
      <c r="U26" s="20">
        <v>-2110000</v>
      </c>
      <c r="V26" s="20">
        <v>-2110000</v>
      </c>
      <c r="W26" s="20">
        <v>-2110000</v>
      </c>
      <c r="X26" s="20">
        <v>-2110000</v>
      </c>
      <c r="Y26" s="20">
        <v>-2110000</v>
      </c>
      <c r="Z26" s="20">
        <v>-2110000</v>
      </c>
      <c r="AA26" s="20">
        <v>-2110000</v>
      </c>
      <c r="AB26" s="20">
        <v>-2110000</v>
      </c>
      <c r="AC26" s="20">
        <v>-2110000</v>
      </c>
      <c r="AD26" s="20">
        <v>-2110000</v>
      </c>
      <c r="AE26" s="20">
        <v>-2110000</v>
      </c>
      <c r="AF26" s="20">
        <v>114070000</v>
      </c>
    </row>
    <row r="27" spans="2:32" x14ac:dyDescent="0.2">
      <c r="B27" s="172">
        <v>2</v>
      </c>
      <c r="C27" s="13" t="s">
        <v>97</v>
      </c>
      <c r="D27" s="164"/>
      <c r="E27" s="173" t="s">
        <v>35</v>
      </c>
      <c r="F27" s="21">
        <v>-239986728.60139909</v>
      </c>
      <c r="G27" s="20">
        <v>0</v>
      </c>
      <c r="H27" s="20">
        <v>-75750000</v>
      </c>
      <c r="I27" s="20">
        <v>-75750000</v>
      </c>
      <c r="J27" s="20">
        <v>-75750000</v>
      </c>
      <c r="K27" s="20">
        <v>-78780000</v>
      </c>
      <c r="L27" s="20">
        <v>-3030000</v>
      </c>
      <c r="M27" s="20">
        <v>-3030000</v>
      </c>
      <c r="N27" s="20">
        <v>-3030000</v>
      </c>
      <c r="O27" s="20">
        <v>-3030000</v>
      </c>
      <c r="P27" s="20">
        <v>-3030000</v>
      </c>
      <c r="Q27" s="20">
        <v>-3030000</v>
      </c>
      <c r="R27" s="20">
        <v>-3030000</v>
      </c>
      <c r="S27" s="20">
        <v>-3030000</v>
      </c>
      <c r="T27" s="20">
        <v>-3030000</v>
      </c>
      <c r="U27" s="20">
        <v>-3030000</v>
      </c>
      <c r="V27" s="20">
        <v>-3030000</v>
      </c>
      <c r="W27" s="20">
        <v>-3030000</v>
      </c>
      <c r="X27" s="20">
        <v>-3030000</v>
      </c>
      <c r="Y27" s="20">
        <v>-3030000</v>
      </c>
      <c r="Z27" s="20">
        <v>-3030000</v>
      </c>
      <c r="AA27" s="20">
        <v>-3030000</v>
      </c>
      <c r="AB27" s="20">
        <v>-3030000</v>
      </c>
      <c r="AC27" s="20">
        <v>-3030000</v>
      </c>
      <c r="AD27" s="20">
        <v>-3030000</v>
      </c>
      <c r="AE27" s="20">
        <v>-3030000</v>
      </c>
      <c r="AF27" s="20">
        <v>164340000</v>
      </c>
    </row>
    <row r="28" spans="2:32" x14ac:dyDescent="0.2">
      <c r="B28" s="172">
        <v>3</v>
      </c>
      <c r="C28" s="13" t="s">
        <v>98</v>
      </c>
      <c r="D28" s="164"/>
      <c r="E28" s="173" t="s">
        <v>35</v>
      </c>
      <c r="F28" s="21">
        <v>-311164907.86338294</v>
      </c>
      <c r="G28" s="20">
        <v>0</v>
      </c>
      <c r="H28" s="20">
        <v>-98250000</v>
      </c>
      <c r="I28" s="20">
        <v>-98250000</v>
      </c>
      <c r="J28" s="20">
        <v>-98250000</v>
      </c>
      <c r="K28" s="20">
        <v>-102180000</v>
      </c>
      <c r="L28" s="20">
        <v>-3930000</v>
      </c>
      <c r="M28" s="20">
        <v>-3930000</v>
      </c>
      <c r="N28" s="20">
        <v>-3930000</v>
      </c>
      <c r="O28" s="20">
        <v>-3930000</v>
      </c>
      <c r="P28" s="20">
        <v>-3930000</v>
      </c>
      <c r="Q28" s="20">
        <v>-3930000</v>
      </c>
      <c r="R28" s="20">
        <v>-3930000</v>
      </c>
      <c r="S28" s="20">
        <v>-3930000</v>
      </c>
      <c r="T28" s="20">
        <v>-3930000</v>
      </c>
      <c r="U28" s="20">
        <v>-3930000</v>
      </c>
      <c r="V28" s="20">
        <v>-3930000</v>
      </c>
      <c r="W28" s="20">
        <v>-3930000</v>
      </c>
      <c r="X28" s="20">
        <v>-3930000</v>
      </c>
      <c r="Y28" s="20">
        <v>-3930000</v>
      </c>
      <c r="Z28" s="20">
        <v>-3930000</v>
      </c>
      <c r="AA28" s="20">
        <v>-3930000</v>
      </c>
      <c r="AB28" s="20">
        <v>-3930000</v>
      </c>
      <c r="AC28" s="20">
        <v>-3930000</v>
      </c>
      <c r="AD28" s="20">
        <v>-3930000</v>
      </c>
      <c r="AE28" s="20">
        <v>-3930000</v>
      </c>
      <c r="AF28" s="20">
        <v>213620000</v>
      </c>
    </row>
    <row r="29" spans="2:32" x14ac:dyDescent="0.2">
      <c r="B29" s="172">
        <v>4</v>
      </c>
      <c r="C29" s="13" t="s">
        <v>99</v>
      </c>
      <c r="D29" s="164"/>
      <c r="E29" s="173" t="s">
        <v>35</v>
      </c>
      <c r="F29" s="21">
        <v>-42585643.701457031</v>
      </c>
      <c r="G29" s="20">
        <v>0</v>
      </c>
      <c r="H29" s="20">
        <v>-16666666.666666666</v>
      </c>
      <c r="I29" s="20">
        <v>-16666666.666666666</v>
      </c>
      <c r="J29" s="20">
        <v>-17166666.666666664</v>
      </c>
      <c r="K29" s="20">
        <v>-500000</v>
      </c>
      <c r="L29" s="20">
        <v>-500000</v>
      </c>
      <c r="M29" s="20">
        <v>-500000</v>
      </c>
      <c r="N29" s="20">
        <v>-500000</v>
      </c>
      <c r="O29" s="20">
        <v>-500000</v>
      </c>
      <c r="P29" s="20">
        <v>-500000</v>
      </c>
      <c r="Q29" s="20">
        <v>-500000</v>
      </c>
      <c r="R29" s="20">
        <v>-500000</v>
      </c>
      <c r="S29" s="20">
        <v>-500000</v>
      </c>
      <c r="T29" s="20">
        <v>-500000</v>
      </c>
      <c r="U29" s="20">
        <v>-500000</v>
      </c>
      <c r="V29" s="20">
        <v>-500000</v>
      </c>
      <c r="W29" s="20">
        <v>-500000</v>
      </c>
      <c r="X29" s="20">
        <v>-500000</v>
      </c>
      <c r="Y29" s="20">
        <v>-500000</v>
      </c>
      <c r="Z29" s="20">
        <v>-500000</v>
      </c>
      <c r="AA29" s="20">
        <v>-500000</v>
      </c>
      <c r="AB29" s="20">
        <v>-500000</v>
      </c>
      <c r="AC29" s="20">
        <v>-500000</v>
      </c>
      <c r="AD29" s="20">
        <v>-500000</v>
      </c>
      <c r="AE29" s="20">
        <v>-500000</v>
      </c>
      <c r="AF29" s="20">
        <v>20750000</v>
      </c>
    </row>
    <row r="30" spans="2:32" x14ac:dyDescent="0.2">
      <c r="B30" s="172">
        <v>5</v>
      </c>
      <c r="C30" s="13" t="s">
        <v>100</v>
      </c>
      <c r="D30" s="164"/>
      <c r="E30" s="173" t="s">
        <v>35</v>
      </c>
      <c r="F30" s="21"/>
      <c r="G30" s="265" t="s">
        <v>240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2:32" x14ac:dyDescent="0.2">
      <c r="B31" s="172">
        <v>6</v>
      </c>
      <c r="C31" s="13" t="s">
        <v>174</v>
      </c>
      <c r="D31" s="164"/>
      <c r="E31" s="173" t="s">
        <v>35</v>
      </c>
      <c r="F31" s="21"/>
      <c r="G31" s="265" t="s">
        <v>240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  <row r="32" spans="2:32" x14ac:dyDescent="0.2">
      <c r="B32" s="161"/>
      <c r="C32" s="165"/>
      <c r="D32" s="165"/>
      <c r="E32" s="161"/>
      <c r="F32" s="161"/>
    </row>
    <row r="33" spans="1:32" ht="21" x14ac:dyDescent="0.35">
      <c r="B33" s="162" t="s">
        <v>50</v>
      </c>
      <c r="C33" s="163"/>
      <c r="D33" s="163"/>
      <c r="E33" s="162"/>
      <c r="F33" s="130"/>
      <c r="G33" s="130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</row>
    <row r="34" spans="1:32" x14ac:dyDescent="0.2">
      <c r="B34" s="161"/>
      <c r="C34" s="165"/>
      <c r="D34" s="165"/>
      <c r="E34" s="161"/>
      <c r="F34" s="161"/>
    </row>
    <row r="35" spans="1:32" ht="15.75" x14ac:dyDescent="0.25">
      <c r="B35" s="58" t="s">
        <v>90</v>
      </c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</row>
    <row r="36" spans="1:32" x14ac:dyDescent="0.2">
      <c r="B36" s="164" t="s">
        <v>94</v>
      </c>
      <c r="C36" s="164"/>
      <c r="D36" s="164"/>
      <c r="E36" s="164"/>
      <c r="F36" s="164"/>
      <c r="G36" s="142">
        <v>1</v>
      </c>
      <c r="H36" s="142">
        <v>2</v>
      </c>
      <c r="I36" s="142">
        <v>3</v>
      </c>
      <c r="J36" s="142">
        <v>4</v>
      </c>
      <c r="K36" s="142">
        <v>5</v>
      </c>
      <c r="L36" s="142">
        <v>6</v>
      </c>
      <c r="M36" s="142">
        <v>7</v>
      </c>
      <c r="N36" s="142">
        <v>8</v>
      </c>
      <c r="O36" s="142">
        <v>9</v>
      </c>
      <c r="P36" s="142">
        <v>10</v>
      </c>
      <c r="Q36" s="142">
        <v>11</v>
      </c>
      <c r="R36" s="142">
        <v>12</v>
      </c>
      <c r="S36" s="142">
        <v>13</v>
      </c>
      <c r="T36" s="142">
        <v>14</v>
      </c>
      <c r="U36" s="142">
        <v>15</v>
      </c>
      <c r="V36" s="142">
        <v>16</v>
      </c>
      <c r="W36" s="142">
        <v>17</v>
      </c>
      <c r="X36" s="142">
        <v>18</v>
      </c>
      <c r="Y36" s="142">
        <v>19</v>
      </c>
      <c r="Z36" s="142">
        <v>20</v>
      </c>
      <c r="AA36" s="142">
        <v>21</v>
      </c>
      <c r="AB36" s="142">
        <v>22</v>
      </c>
      <c r="AC36" s="142">
        <v>23</v>
      </c>
      <c r="AD36" s="142">
        <v>24</v>
      </c>
      <c r="AE36" s="142">
        <v>25</v>
      </c>
      <c r="AF36" s="142">
        <v>26</v>
      </c>
    </row>
    <row r="37" spans="1:32" x14ac:dyDescent="0.2">
      <c r="B37" s="164" t="s">
        <v>92</v>
      </c>
      <c r="C37" s="164"/>
      <c r="D37" s="164"/>
      <c r="E37" s="164"/>
      <c r="F37" s="164"/>
      <c r="G37" s="142" t="s">
        <v>103</v>
      </c>
      <c r="H37" s="142" t="s">
        <v>104</v>
      </c>
      <c r="I37" s="142" t="s">
        <v>105</v>
      </c>
      <c r="J37" s="142" t="s">
        <v>106</v>
      </c>
      <c r="K37" s="142" t="s">
        <v>107</v>
      </c>
      <c r="L37" s="142" t="s">
        <v>108</v>
      </c>
      <c r="M37" s="142" t="s">
        <v>109</v>
      </c>
      <c r="N37" s="142" t="s">
        <v>110</v>
      </c>
      <c r="O37" s="142" t="s">
        <v>111</v>
      </c>
      <c r="P37" s="142" t="s">
        <v>112</v>
      </c>
      <c r="Q37" s="142" t="s">
        <v>113</v>
      </c>
      <c r="R37" s="142" t="s">
        <v>114</v>
      </c>
      <c r="S37" s="142" t="s">
        <v>115</v>
      </c>
      <c r="T37" s="142" t="s">
        <v>116</v>
      </c>
      <c r="U37" s="142" t="s">
        <v>117</v>
      </c>
      <c r="V37" s="142" t="s">
        <v>118</v>
      </c>
      <c r="W37" s="142" t="s">
        <v>119</v>
      </c>
      <c r="X37" s="142" t="s">
        <v>120</v>
      </c>
      <c r="Y37" s="142" t="s">
        <v>121</v>
      </c>
      <c r="Z37" s="142" t="s">
        <v>122</v>
      </c>
      <c r="AA37" s="142" t="s">
        <v>123</v>
      </c>
      <c r="AB37" s="142" t="s">
        <v>124</v>
      </c>
      <c r="AC37" s="142" t="s">
        <v>125</v>
      </c>
      <c r="AD37" s="142" t="s">
        <v>126</v>
      </c>
      <c r="AE37" s="142" t="s">
        <v>127</v>
      </c>
      <c r="AF37" s="142" t="s">
        <v>153</v>
      </c>
    </row>
    <row r="38" spans="1:32" x14ac:dyDescent="0.2">
      <c r="B38" s="164" t="s">
        <v>91</v>
      </c>
      <c r="C38" s="164"/>
      <c r="D38" s="164"/>
      <c r="E38" s="164"/>
      <c r="F38" s="164"/>
      <c r="G38" s="142" t="s">
        <v>210</v>
      </c>
      <c r="H38" s="142" t="s">
        <v>211</v>
      </c>
      <c r="I38" s="142" t="s">
        <v>212</v>
      </c>
      <c r="J38" s="142" t="s">
        <v>213</v>
      </c>
      <c r="K38" s="142" t="s">
        <v>214</v>
      </c>
      <c r="L38" s="142" t="s">
        <v>215</v>
      </c>
      <c r="M38" s="142" t="s">
        <v>216</v>
      </c>
      <c r="N38" s="142" t="s">
        <v>217</v>
      </c>
      <c r="O38" s="142" t="s">
        <v>218</v>
      </c>
      <c r="P38" s="142" t="s">
        <v>219</v>
      </c>
      <c r="Q38" s="142" t="s">
        <v>220</v>
      </c>
      <c r="R38" s="142" t="s">
        <v>221</v>
      </c>
      <c r="S38" s="142" t="s">
        <v>222</v>
      </c>
      <c r="T38" s="142" t="s">
        <v>223</v>
      </c>
      <c r="U38" s="142" t="s">
        <v>224</v>
      </c>
      <c r="V38" s="142" t="s">
        <v>225</v>
      </c>
      <c r="W38" s="142" t="s">
        <v>226</v>
      </c>
      <c r="X38" s="142" t="s">
        <v>227</v>
      </c>
      <c r="Y38" s="142" t="s">
        <v>228</v>
      </c>
      <c r="Z38" s="142" t="s">
        <v>229</v>
      </c>
      <c r="AA38" s="142" t="s">
        <v>230</v>
      </c>
      <c r="AB38" s="142" t="s">
        <v>231</v>
      </c>
      <c r="AC38" s="142" t="s">
        <v>232</v>
      </c>
      <c r="AD38" s="142" t="s">
        <v>233</v>
      </c>
      <c r="AE38" s="142" t="s">
        <v>234</v>
      </c>
      <c r="AF38" s="142" t="s">
        <v>235</v>
      </c>
    </row>
    <row r="39" spans="1:32" x14ac:dyDescent="0.2">
      <c r="B39" s="164" t="s">
        <v>89</v>
      </c>
      <c r="C39" s="164"/>
      <c r="D39" s="164"/>
      <c r="E39" s="164"/>
      <c r="F39" s="164"/>
      <c r="G39" s="142">
        <v>2021</v>
      </c>
      <c r="H39" s="142">
        <v>2022</v>
      </c>
      <c r="I39" s="142">
        <v>2023</v>
      </c>
      <c r="J39" s="142">
        <v>2024</v>
      </c>
      <c r="K39" s="142">
        <v>2025</v>
      </c>
      <c r="L39" s="142">
        <v>2026</v>
      </c>
      <c r="M39" s="142">
        <v>2027</v>
      </c>
      <c r="N39" s="142">
        <v>2028</v>
      </c>
      <c r="O39" s="142">
        <v>2029</v>
      </c>
      <c r="P39" s="142">
        <v>2030</v>
      </c>
      <c r="Q39" s="142">
        <v>2031</v>
      </c>
      <c r="R39" s="142">
        <v>2032</v>
      </c>
      <c r="S39" s="142">
        <v>2033</v>
      </c>
      <c r="T39" s="142">
        <v>2034</v>
      </c>
      <c r="U39" s="142">
        <v>2035</v>
      </c>
      <c r="V39" s="142">
        <v>2036</v>
      </c>
      <c r="W39" s="142">
        <v>2037</v>
      </c>
      <c r="X39" s="142">
        <v>2038</v>
      </c>
      <c r="Y39" s="142">
        <v>2039</v>
      </c>
      <c r="Z39" s="142">
        <v>2040</v>
      </c>
      <c r="AA39" s="142">
        <v>2041</v>
      </c>
      <c r="AB39" s="142">
        <v>2042</v>
      </c>
      <c r="AC39" s="142">
        <v>2043</v>
      </c>
      <c r="AD39" s="142">
        <v>2044</v>
      </c>
      <c r="AE39" s="142">
        <v>2045</v>
      </c>
      <c r="AF39" s="142">
        <v>2046</v>
      </c>
    </row>
    <row r="40" spans="1:32" x14ac:dyDescent="0.2">
      <c r="B40" s="161"/>
      <c r="C40" s="165"/>
      <c r="D40" s="165"/>
      <c r="E40" s="161"/>
      <c r="F40" s="161"/>
    </row>
    <row r="41" spans="1:32" ht="15.75" x14ac:dyDescent="0.25">
      <c r="B41" s="166" t="s">
        <v>17</v>
      </c>
      <c r="C41" s="167"/>
      <c r="D41" s="167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</row>
    <row r="42" spans="1:32" ht="15.75" x14ac:dyDescent="0.25">
      <c r="B42" s="168" t="s">
        <v>14</v>
      </c>
      <c r="C42" s="169" t="s">
        <v>13</v>
      </c>
      <c r="D42" s="169" t="s">
        <v>55</v>
      </c>
      <c r="E42" s="170" t="s">
        <v>22</v>
      </c>
      <c r="F42" s="170" t="s">
        <v>37</v>
      </c>
      <c r="G42" s="171" t="s">
        <v>103</v>
      </c>
      <c r="H42" s="171" t="s">
        <v>104</v>
      </c>
      <c r="I42" s="171" t="s">
        <v>105</v>
      </c>
      <c r="J42" s="171" t="s">
        <v>106</v>
      </c>
      <c r="K42" s="171" t="s">
        <v>107</v>
      </c>
      <c r="L42" s="171" t="s">
        <v>108</v>
      </c>
      <c r="M42" s="171" t="s">
        <v>109</v>
      </c>
      <c r="N42" s="171" t="s">
        <v>110</v>
      </c>
      <c r="O42" s="171" t="s">
        <v>111</v>
      </c>
      <c r="P42" s="171" t="s">
        <v>112</v>
      </c>
      <c r="Q42" s="171" t="s">
        <v>113</v>
      </c>
      <c r="R42" s="171" t="s">
        <v>114</v>
      </c>
      <c r="S42" s="171" t="s">
        <v>115</v>
      </c>
      <c r="T42" s="171" t="s">
        <v>116</v>
      </c>
      <c r="U42" s="171" t="s">
        <v>117</v>
      </c>
      <c r="V42" s="171" t="s">
        <v>118</v>
      </c>
      <c r="W42" s="171" t="s">
        <v>119</v>
      </c>
      <c r="X42" s="171" t="s">
        <v>120</v>
      </c>
      <c r="Y42" s="171" t="s">
        <v>121</v>
      </c>
      <c r="Z42" s="171" t="s">
        <v>122</v>
      </c>
      <c r="AA42" s="171" t="s">
        <v>123</v>
      </c>
      <c r="AB42" s="171" t="s">
        <v>124</v>
      </c>
      <c r="AC42" s="171" t="s">
        <v>125</v>
      </c>
      <c r="AD42" s="171" t="s">
        <v>126</v>
      </c>
      <c r="AE42" s="171" t="s">
        <v>127</v>
      </c>
      <c r="AF42" s="171" t="s">
        <v>153</v>
      </c>
    </row>
    <row r="43" spans="1:32" x14ac:dyDescent="0.2">
      <c r="A43" s="149"/>
      <c r="B43" s="22">
        <v>1</v>
      </c>
      <c r="C43" s="23" t="s">
        <v>96</v>
      </c>
      <c r="D43" s="23" t="s">
        <v>187</v>
      </c>
      <c r="E43" s="173" t="s">
        <v>35</v>
      </c>
      <c r="F43" s="17">
        <v>-133891535.07992029</v>
      </c>
      <c r="G43" s="16">
        <v>0</v>
      </c>
      <c r="H43" s="16">
        <v>-48250000</v>
      </c>
      <c r="I43" s="16">
        <v>-48250000</v>
      </c>
      <c r="J43" s="16">
        <v>-48250000</v>
      </c>
      <c r="K43" s="16">
        <v>-48250000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108080000</v>
      </c>
    </row>
    <row r="44" spans="1:32" x14ac:dyDescent="0.2">
      <c r="A44" s="126"/>
      <c r="B44" s="22">
        <v>1</v>
      </c>
      <c r="C44" s="23" t="s">
        <v>96</v>
      </c>
      <c r="D44" s="23" t="s">
        <v>188</v>
      </c>
      <c r="E44" s="173" t="s">
        <v>35</v>
      </c>
      <c r="F44" s="17">
        <v>-12933329.750669001</v>
      </c>
      <c r="G44" s="16">
        <v>0</v>
      </c>
      <c r="H44" s="16">
        <v>-4500000</v>
      </c>
      <c r="I44" s="16">
        <v>-4500000</v>
      </c>
      <c r="J44" s="16">
        <v>-4500000</v>
      </c>
      <c r="K44" s="16">
        <v>-4500000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8100000</v>
      </c>
    </row>
    <row r="45" spans="1:32" x14ac:dyDescent="0.2">
      <c r="A45" s="126"/>
      <c r="B45" s="22">
        <v>2</v>
      </c>
      <c r="C45" s="23" t="s">
        <v>97</v>
      </c>
      <c r="D45" s="23" t="s">
        <v>187</v>
      </c>
      <c r="E45" s="173" t="s">
        <v>35</v>
      </c>
      <c r="F45" s="17">
        <v>-195634263.69190425</v>
      </c>
      <c r="G45" s="16">
        <v>0</v>
      </c>
      <c r="H45" s="16">
        <v>-70500000</v>
      </c>
      <c r="I45" s="16">
        <v>-70500000</v>
      </c>
      <c r="J45" s="16">
        <v>-70500000</v>
      </c>
      <c r="K45" s="16">
        <v>-70500000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157920000</v>
      </c>
    </row>
    <row r="46" spans="1:32" x14ac:dyDescent="0.2">
      <c r="A46" s="126"/>
      <c r="B46" s="22">
        <v>2</v>
      </c>
      <c r="C46" s="23" t="s">
        <v>97</v>
      </c>
      <c r="D46" s="23" t="s">
        <v>188</v>
      </c>
      <c r="E46" s="173" t="s">
        <v>35</v>
      </c>
      <c r="F46" s="17">
        <v>-15088884.709113834</v>
      </c>
      <c r="G46" s="16">
        <v>0</v>
      </c>
      <c r="H46" s="16">
        <v>-5250000</v>
      </c>
      <c r="I46" s="16">
        <v>-5250000</v>
      </c>
      <c r="J46" s="16">
        <v>-5250000</v>
      </c>
      <c r="K46" s="16">
        <v>-5250000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9450000</v>
      </c>
    </row>
    <row r="47" spans="1:32" x14ac:dyDescent="0.2">
      <c r="A47" s="126"/>
      <c r="B47" s="22">
        <v>3</v>
      </c>
      <c r="C47" s="23" t="s">
        <v>98</v>
      </c>
      <c r="D47" s="23" t="s">
        <v>187</v>
      </c>
      <c r="E47" s="173" t="s">
        <v>35</v>
      </c>
      <c r="F47" s="17">
        <v>-256683253.78015798</v>
      </c>
      <c r="G47" s="16">
        <v>0</v>
      </c>
      <c r="H47" s="16">
        <v>-92500000</v>
      </c>
      <c r="I47" s="16">
        <v>-92500000</v>
      </c>
      <c r="J47" s="16">
        <v>-92500000</v>
      </c>
      <c r="K47" s="16">
        <v>-92500000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207200000</v>
      </c>
    </row>
    <row r="48" spans="1:32" x14ac:dyDescent="0.2">
      <c r="A48" s="126"/>
      <c r="B48" s="22">
        <v>3</v>
      </c>
      <c r="C48" s="23" t="s">
        <v>98</v>
      </c>
      <c r="D48" s="23" t="s">
        <v>188</v>
      </c>
      <c r="E48" s="173" t="s">
        <v>35</v>
      </c>
      <c r="F48" s="17">
        <v>-16525921.348077057</v>
      </c>
      <c r="G48" s="16">
        <v>0</v>
      </c>
      <c r="H48" s="16">
        <v>-5750000</v>
      </c>
      <c r="I48" s="16">
        <v>-5750000</v>
      </c>
      <c r="J48" s="16">
        <v>-5750000</v>
      </c>
      <c r="K48" s="16">
        <v>-5750000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10350000</v>
      </c>
    </row>
    <row r="49" spans="1:32" x14ac:dyDescent="0.2">
      <c r="A49" s="126"/>
      <c r="B49" s="22">
        <v>4</v>
      </c>
      <c r="C49" s="23" t="s">
        <v>99</v>
      </c>
      <c r="D49" s="23" t="s">
        <v>189</v>
      </c>
      <c r="E49" s="173" t="s">
        <v>35</v>
      </c>
      <c r="F49" s="17">
        <v>-37359125.191602096</v>
      </c>
      <c r="G49" s="16">
        <v>0</v>
      </c>
      <c r="H49" s="16">
        <v>-16666666.666666666</v>
      </c>
      <c r="I49" s="16">
        <v>-16666666.666666666</v>
      </c>
      <c r="J49" s="16">
        <v>-16666666.666666666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21250000</v>
      </c>
    </row>
    <row r="50" spans="1:32" x14ac:dyDescent="0.2">
      <c r="A50" s="126"/>
      <c r="B50" s="22">
        <v>5</v>
      </c>
      <c r="C50" s="23" t="s">
        <v>100</v>
      </c>
      <c r="D50" s="183" t="s">
        <v>187</v>
      </c>
      <c r="E50" s="173" t="s">
        <v>35</v>
      </c>
      <c r="F50" s="17">
        <v>-133891535.07992029</v>
      </c>
      <c r="G50" s="16">
        <v>0</v>
      </c>
      <c r="H50" s="16">
        <v>-48250000</v>
      </c>
      <c r="I50" s="16">
        <v>-48250000</v>
      </c>
      <c r="J50" s="16">
        <v>-48250000</v>
      </c>
      <c r="K50" s="16">
        <v>-48250000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108080000</v>
      </c>
    </row>
    <row r="51" spans="1:32" x14ac:dyDescent="0.2">
      <c r="A51" s="126"/>
      <c r="B51" s="22">
        <v>5</v>
      </c>
      <c r="C51" s="23" t="s">
        <v>100</v>
      </c>
      <c r="D51" s="183" t="s">
        <v>188</v>
      </c>
      <c r="E51" s="173" t="s">
        <v>35</v>
      </c>
      <c r="F51" s="17">
        <v>-12933329.750669001</v>
      </c>
      <c r="G51" s="16">
        <v>0</v>
      </c>
      <c r="H51" s="16">
        <v>-4500000</v>
      </c>
      <c r="I51" s="16">
        <v>-4500000</v>
      </c>
      <c r="J51" s="16">
        <v>-4500000</v>
      </c>
      <c r="K51" s="16">
        <v>-4500000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8100000</v>
      </c>
    </row>
    <row r="52" spans="1:32" x14ac:dyDescent="0.2">
      <c r="A52" s="126"/>
      <c r="B52" s="22">
        <v>5</v>
      </c>
      <c r="C52" s="23" t="s">
        <v>100</v>
      </c>
      <c r="D52" s="183"/>
      <c r="E52" s="173" t="s">
        <v>35</v>
      </c>
      <c r="F52" s="17"/>
      <c r="G52" s="243" t="s">
        <v>240</v>
      </c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5"/>
    </row>
    <row r="53" spans="1:32" x14ac:dyDescent="0.2">
      <c r="A53" s="126"/>
      <c r="B53" s="22">
        <v>6</v>
      </c>
      <c r="C53" s="23" t="s">
        <v>174</v>
      </c>
      <c r="D53" s="183"/>
      <c r="E53" s="173" t="s">
        <v>35</v>
      </c>
      <c r="F53" s="17"/>
      <c r="G53" s="246" t="s">
        <v>240</v>
      </c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17"/>
    </row>
    <row r="54" spans="1:32" x14ac:dyDescent="0.2">
      <c r="A54" s="126"/>
      <c r="B54" s="22">
        <v>6</v>
      </c>
      <c r="C54" s="23" t="s">
        <v>174</v>
      </c>
      <c r="D54" s="183"/>
      <c r="E54" s="173" t="s">
        <v>35</v>
      </c>
      <c r="F54" s="17"/>
      <c r="G54" s="248" t="s">
        <v>240</v>
      </c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50"/>
    </row>
    <row r="55" spans="1:32" x14ac:dyDescent="0.2">
      <c r="B55" s="161"/>
      <c r="C55" s="165"/>
      <c r="D55" s="165"/>
      <c r="E55" s="161"/>
      <c r="F55" s="161"/>
    </row>
    <row r="56" spans="1:32" ht="15.75" x14ac:dyDescent="0.25">
      <c r="B56" s="166" t="s">
        <v>101</v>
      </c>
      <c r="C56" s="167"/>
      <c r="D56" s="167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</row>
    <row r="57" spans="1:32" ht="15.75" x14ac:dyDescent="0.25">
      <c r="B57" s="168" t="s">
        <v>14</v>
      </c>
      <c r="C57" s="169" t="s">
        <v>13</v>
      </c>
      <c r="D57" s="169"/>
      <c r="E57" s="170" t="s">
        <v>22</v>
      </c>
      <c r="F57" s="170" t="s">
        <v>37</v>
      </c>
      <c r="G57" s="171" t="s">
        <v>103</v>
      </c>
      <c r="H57" s="171" t="s">
        <v>104</v>
      </c>
      <c r="I57" s="171" t="s">
        <v>105</v>
      </c>
      <c r="J57" s="171" t="s">
        <v>106</v>
      </c>
      <c r="K57" s="171" t="s">
        <v>107</v>
      </c>
      <c r="L57" s="171" t="s">
        <v>108</v>
      </c>
      <c r="M57" s="171" t="s">
        <v>109</v>
      </c>
      <c r="N57" s="171" t="s">
        <v>110</v>
      </c>
      <c r="O57" s="171" t="s">
        <v>111</v>
      </c>
      <c r="P57" s="171" t="s">
        <v>112</v>
      </c>
      <c r="Q57" s="171" t="s">
        <v>113</v>
      </c>
      <c r="R57" s="171" t="s">
        <v>114</v>
      </c>
      <c r="S57" s="171" t="s">
        <v>115</v>
      </c>
      <c r="T57" s="171" t="s">
        <v>116</v>
      </c>
      <c r="U57" s="171" t="s">
        <v>117</v>
      </c>
      <c r="V57" s="171" t="s">
        <v>118</v>
      </c>
      <c r="W57" s="171" t="s">
        <v>119</v>
      </c>
      <c r="X57" s="171" t="s">
        <v>120</v>
      </c>
      <c r="Y57" s="171" t="s">
        <v>121</v>
      </c>
      <c r="Z57" s="171" t="s">
        <v>122</v>
      </c>
      <c r="AA57" s="171" t="s">
        <v>123</v>
      </c>
      <c r="AB57" s="171" t="s">
        <v>124</v>
      </c>
      <c r="AC57" s="171" t="s">
        <v>125</v>
      </c>
      <c r="AD57" s="171" t="s">
        <v>126</v>
      </c>
      <c r="AE57" s="171" t="s">
        <v>127</v>
      </c>
      <c r="AF57" s="171" t="s">
        <v>153</v>
      </c>
    </row>
    <row r="58" spans="1:32" x14ac:dyDescent="0.2">
      <c r="A58" s="149"/>
      <c r="B58" s="172">
        <v>1</v>
      </c>
      <c r="C58" s="13" t="s">
        <v>96</v>
      </c>
      <c r="D58" s="164"/>
      <c r="E58" s="173" t="s">
        <v>35</v>
      </c>
      <c r="F58" s="17">
        <v>-146824864.83058929</v>
      </c>
      <c r="G58" s="16">
        <v>0</v>
      </c>
      <c r="H58" s="16">
        <v>-52750000</v>
      </c>
      <c r="I58" s="16">
        <v>-52750000</v>
      </c>
      <c r="J58" s="16">
        <v>-52750000</v>
      </c>
      <c r="K58" s="16">
        <v>-52750000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116180000</v>
      </c>
    </row>
    <row r="59" spans="1:32" x14ac:dyDescent="0.2">
      <c r="A59" s="149"/>
      <c r="B59" s="172">
        <v>2</v>
      </c>
      <c r="C59" s="13" t="s">
        <v>97</v>
      </c>
      <c r="D59" s="164"/>
      <c r="E59" s="173" t="s">
        <v>35</v>
      </c>
      <c r="F59" s="17">
        <v>-210723148.40101808</v>
      </c>
      <c r="G59" s="16">
        <v>0</v>
      </c>
      <c r="H59" s="16">
        <v>-75750000</v>
      </c>
      <c r="I59" s="16">
        <v>-75750000</v>
      </c>
      <c r="J59" s="16">
        <v>-75750000</v>
      </c>
      <c r="K59" s="16">
        <v>-75750000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167370000</v>
      </c>
    </row>
    <row r="60" spans="1:32" x14ac:dyDescent="0.2">
      <c r="A60" s="149"/>
      <c r="B60" s="172">
        <v>3</v>
      </c>
      <c r="C60" s="13" t="s">
        <v>98</v>
      </c>
      <c r="D60" s="164"/>
      <c r="E60" s="173" t="s">
        <v>35</v>
      </c>
      <c r="F60" s="17">
        <v>-273209175.12823516</v>
      </c>
      <c r="G60" s="16">
        <v>0</v>
      </c>
      <c r="H60" s="16">
        <v>-98250000</v>
      </c>
      <c r="I60" s="16">
        <v>-98250000</v>
      </c>
      <c r="J60" s="16">
        <v>-98250000</v>
      </c>
      <c r="K60" s="16">
        <v>-98250000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217550000</v>
      </c>
    </row>
    <row r="61" spans="1:32" x14ac:dyDescent="0.2">
      <c r="A61" s="149"/>
      <c r="B61" s="172">
        <v>4</v>
      </c>
      <c r="C61" s="13" t="s">
        <v>99</v>
      </c>
      <c r="D61" s="164"/>
      <c r="E61" s="173" t="s">
        <v>35</v>
      </c>
      <c r="F61" s="17">
        <v>-37359125.191602096</v>
      </c>
      <c r="G61" s="16">
        <v>0</v>
      </c>
      <c r="H61" s="16">
        <v>-16666666.666666666</v>
      </c>
      <c r="I61" s="16">
        <v>-16666666.666666666</v>
      </c>
      <c r="J61" s="16">
        <v>-16666666.666666666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21250000</v>
      </c>
    </row>
    <row r="62" spans="1:32" x14ac:dyDescent="0.2">
      <c r="A62" s="149"/>
      <c r="B62" s="172">
        <v>5</v>
      </c>
      <c r="C62" s="13" t="s">
        <v>100</v>
      </c>
      <c r="D62" s="164"/>
      <c r="E62" s="173" t="s">
        <v>35</v>
      </c>
      <c r="F62" s="17"/>
      <c r="G62" s="16" t="s">
        <v>240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x14ac:dyDescent="0.2">
      <c r="B63" s="172">
        <v>6</v>
      </c>
      <c r="C63" s="13" t="s">
        <v>174</v>
      </c>
      <c r="D63" s="164"/>
      <c r="E63" s="173" t="s">
        <v>35</v>
      </c>
      <c r="F63" s="17"/>
      <c r="G63" s="16" t="s">
        <v>240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x14ac:dyDescent="0.2">
      <c r="B64" s="161"/>
      <c r="C64" s="165"/>
      <c r="D64" s="165"/>
      <c r="E64" s="161"/>
      <c r="F64" s="126"/>
    </row>
    <row r="65" spans="2:32" ht="15.75" x14ac:dyDescent="0.25">
      <c r="B65" s="166" t="s">
        <v>203</v>
      </c>
      <c r="C65" s="167"/>
      <c r="D65" s="167"/>
      <c r="E65" s="10"/>
      <c r="F65" s="10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</row>
    <row r="66" spans="2:32" ht="15.75" x14ac:dyDescent="0.25">
      <c r="B66" s="168" t="s">
        <v>14</v>
      </c>
      <c r="C66" s="169" t="s">
        <v>13</v>
      </c>
      <c r="D66" s="169"/>
      <c r="E66" s="170" t="s">
        <v>22</v>
      </c>
      <c r="F66" s="170" t="s">
        <v>37</v>
      </c>
      <c r="G66" s="171" t="s">
        <v>103</v>
      </c>
      <c r="H66" s="171" t="s">
        <v>104</v>
      </c>
      <c r="I66" s="171" t="s">
        <v>105</v>
      </c>
      <c r="J66" s="171" t="s">
        <v>106</v>
      </c>
      <c r="K66" s="171" t="s">
        <v>107</v>
      </c>
      <c r="L66" s="171" t="s">
        <v>108</v>
      </c>
      <c r="M66" s="171" t="s">
        <v>109</v>
      </c>
      <c r="N66" s="171" t="s">
        <v>110</v>
      </c>
      <c r="O66" s="171" t="s">
        <v>111</v>
      </c>
      <c r="P66" s="171" t="s">
        <v>112</v>
      </c>
      <c r="Q66" s="171" t="s">
        <v>113</v>
      </c>
      <c r="R66" s="171" t="s">
        <v>114</v>
      </c>
      <c r="S66" s="171" t="s">
        <v>115</v>
      </c>
      <c r="T66" s="171" t="s">
        <v>116</v>
      </c>
      <c r="U66" s="171" t="s">
        <v>117</v>
      </c>
      <c r="V66" s="171" t="s">
        <v>118</v>
      </c>
      <c r="W66" s="171" t="s">
        <v>119</v>
      </c>
      <c r="X66" s="171" t="s">
        <v>120</v>
      </c>
      <c r="Y66" s="171" t="s">
        <v>121</v>
      </c>
      <c r="Z66" s="171" t="s">
        <v>122</v>
      </c>
      <c r="AA66" s="171" t="s">
        <v>123</v>
      </c>
      <c r="AB66" s="171" t="s">
        <v>124</v>
      </c>
      <c r="AC66" s="171" t="s">
        <v>125</v>
      </c>
      <c r="AD66" s="171" t="s">
        <v>126</v>
      </c>
      <c r="AE66" s="171" t="s">
        <v>127</v>
      </c>
      <c r="AF66" s="171" t="s">
        <v>153</v>
      </c>
    </row>
    <row r="67" spans="2:32" x14ac:dyDescent="0.2">
      <c r="B67" s="172">
        <v>1</v>
      </c>
      <c r="C67" s="13" t="s">
        <v>96</v>
      </c>
      <c r="D67" s="164"/>
      <c r="E67" s="173" t="s">
        <v>35</v>
      </c>
      <c r="F67" s="17">
        <v>-20378268.720397383</v>
      </c>
      <c r="G67" s="16">
        <v>0</v>
      </c>
      <c r="H67" s="16">
        <v>0</v>
      </c>
      <c r="I67" s="16">
        <v>0</v>
      </c>
      <c r="J67" s="16">
        <v>0</v>
      </c>
      <c r="K67" s="16">
        <v>-2110000</v>
      </c>
      <c r="L67" s="16">
        <v>-2110000</v>
      </c>
      <c r="M67" s="16">
        <v>-2110000</v>
      </c>
      <c r="N67" s="16">
        <v>-2110000</v>
      </c>
      <c r="O67" s="16">
        <v>-2110000</v>
      </c>
      <c r="P67" s="16">
        <v>-2110000</v>
      </c>
      <c r="Q67" s="16">
        <v>-2110000</v>
      </c>
      <c r="R67" s="16">
        <v>-2110000</v>
      </c>
      <c r="S67" s="16">
        <v>-2110000</v>
      </c>
      <c r="T67" s="16">
        <v>-2110000</v>
      </c>
      <c r="U67" s="16">
        <v>-2110000</v>
      </c>
      <c r="V67" s="16">
        <v>-2110000</v>
      </c>
      <c r="W67" s="16">
        <v>-2110000</v>
      </c>
      <c r="X67" s="16">
        <v>-2110000</v>
      </c>
      <c r="Y67" s="16">
        <v>-2110000</v>
      </c>
      <c r="Z67" s="16">
        <v>-2110000</v>
      </c>
      <c r="AA67" s="16">
        <v>-2110000</v>
      </c>
      <c r="AB67" s="16">
        <v>-2110000</v>
      </c>
      <c r="AC67" s="16">
        <v>-2110000</v>
      </c>
      <c r="AD67" s="16">
        <v>-2110000</v>
      </c>
      <c r="AE67" s="16">
        <v>-2110000</v>
      </c>
      <c r="AF67" s="16">
        <v>-2110000</v>
      </c>
    </row>
    <row r="68" spans="2:32" x14ac:dyDescent="0.2">
      <c r="B68" s="172">
        <v>2</v>
      </c>
      <c r="C68" s="13" t="s">
        <v>97</v>
      </c>
      <c r="D68" s="164"/>
      <c r="E68" s="173" t="s">
        <v>35</v>
      </c>
      <c r="F68" s="17">
        <v>-29263580.200381078</v>
      </c>
      <c r="G68" s="16">
        <v>0</v>
      </c>
      <c r="H68" s="16">
        <v>0</v>
      </c>
      <c r="I68" s="16">
        <v>0</v>
      </c>
      <c r="J68" s="16">
        <v>0</v>
      </c>
      <c r="K68" s="16">
        <v>-3030000</v>
      </c>
      <c r="L68" s="16">
        <v>-3030000</v>
      </c>
      <c r="M68" s="16">
        <v>-3030000</v>
      </c>
      <c r="N68" s="16">
        <v>-3030000</v>
      </c>
      <c r="O68" s="16">
        <v>-3030000</v>
      </c>
      <c r="P68" s="16">
        <v>-3030000</v>
      </c>
      <c r="Q68" s="16">
        <v>-3030000</v>
      </c>
      <c r="R68" s="16">
        <v>-3030000</v>
      </c>
      <c r="S68" s="16">
        <v>-3030000</v>
      </c>
      <c r="T68" s="16">
        <v>-3030000</v>
      </c>
      <c r="U68" s="16">
        <v>-3030000</v>
      </c>
      <c r="V68" s="16">
        <v>-3030000</v>
      </c>
      <c r="W68" s="16">
        <v>-3030000</v>
      </c>
      <c r="X68" s="16">
        <v>-3030000</v>
      </c>
      <c r="Y68" s="16">
        <v>-3030000</v>
      </c>
      <c r="Z68" s="16">
        <v>-3030000</v>
      </c>
      <c r="AA68" s="16">
        <v>-3030000</v>
      </c>
      <c r="AB68" s="16">
        <v>-3030000</v>
      </c>
      <c r="AC68" s="16">
        <v>-3030000</v>
      </c>
      <c r="AD68" s="16">
        <v>-3030000</v>
      </c>
      <c r="AE68" s="16">
        <v>-3030000</v>
      </c>
      <c r="AF68" s="16">
        <v>-3030000</v>
      </c>
    </row>
    <row r="69" spans="2:32" x14ac:dyDescent="0.2">
      <c r="B69" s="172">
        <v>3</v>
      </c>
      <c r="C69" s="13" t="s">
        <v>98</v>
      </c>
      <c r="D69" s="164"/>
      <c r="E69" s="173" t="s">
        <v>35</v>
      </c>
      <c r="F69" s="17">
        <v>-37955732.735147744</v>
      </c>
      <c r="G69" s="16">
        <v>0</v>
      </c>
      <c r="H69" s="16">
        <v>0</v>
      </c>
      <c r="I69" s="16">
        <v>0</v>
      </c>
      <c r="J69" s="16">
        <v>0</v>
      </c>
      <c r="K69" s="16">
        <v>-3930000</v>
      </c>
      <c r="L69" s="16">
        <v>-3930000</v>
      </c>
      <c r="M69" s="16">
        <v>-3930000</v>
      </c>
      <c r="N69" s="16">
        <v>-3930000</v>
      </c>
      <c r="O69" s="16">
        <v>-3930000</v>
      </c>
      <c r="P69" s="16">
        <v>-3930000</v>
      </c>
      <c r="Q69" s="16">
        <v>-3930000</v>
      </c>
      <c r="R69" s="16">
        <v>-3930000</v>
      </c>
      <c r="S69" s="16">
        <v>-3930000</v>
      </c>
      <c r="T69" s="16">
        <v>-3930000</v>
      </c>
      <c r="U69" s="16">
        <v>-3930000</v>
      </c>
      <c r="V69" s="16">
        <v>-3930000</v>
      </c>
      <c r="W69" s="16">
        <v>-3930000</v>
      </c>
      <c r="X69" s="16">
        <v>-3930000</v>
      </c>
      <c r="Y69" s="16">
        <v>-3930000</v>
      </c>
      <c r="Z69" s="16">
        <v>-3930000</v>
      </c>
      <c r="AA69" s="16">
        <v>-3930000</v>
      </c>
      <c r="AB69" s="16">
        <v>-3930000</v>
      </c>
      <c r="AC69" s="16">
        <v>-3930000</v>
      </c>
      <c r="AD69" s="16">
        <v>-3930000</v>
      </c>
      <c r="AE69" s="16">
        <v>-3930000</v>
      </c>
      <c r="AF69" s="16">
        <v>-3930000</v>
      </c>
    </row>
    <row r="70" spans="2:32" x14ac:dyDescent="0.2">
      <c r="B70" s="172">
        <v>4</v>
      </c>
      <c r="C70" s="13" t="s">
        <v>99</v>
      </c>
      <c r="D70" s="164"/>
      <c r="E70" s="173" t="s">
        <v>35</v>
      </c>
      <c r="F70" s="17">
        <v>-5226518.5098549332</v>
      </c>
      <c r="G70" s="16">
        <v>0</v>
      </c>
      <c r="H70" s="16">
        <v>0</v>
      </c>
      <c r="I70" s="16">
        <v>0</v>
      </c>
      <c r="J70" s="16">
        <v>-500000</v>
      </c>
      <c r="K70" s="16">
        <v>-500000</v>
      </c>
      <c r="L70" s="16">
        <v>-500000</v>
      </c>
      <c r="M70" s="16">
        <v>-500000</v>
      </c>
      <c r="N70" s="16">
        <v>-500000</v>
      </c>
      <c r="O70" s="16">
        <v>-500000</v>
      </c>
      <c r="P70" s="16">
        <v>-500000</v>
      </c>
      <c r="Q70" s="16">
        <v>-500000</v>
      </c>
      <c r="R70" s="16">
        <v>-500000</v>
      </c>
      <c r="S70" s="16">
        <v>-500000</v>
      </c>
      <c r="T70" s="16">
        <v>-500000</v>
      </c>
      <c r="U70" s="16">
        <v>-500000</v>
      </c>
      <c r="V70" s="16">
        <v>-500000</v>
      </c>
      <c r="W70" s="16">
        <v>-500000</v>
      </c>
      <c r="X70" s="16">
        <v>-500000</v>
      </c>
      <c r="Y70" s="16">
        <v>-500000</v>
      </c>
      <c r="Z70" s="16">
        <v>-500000</v>
      </c>
      <c r="AA70" s="16">
        <v>-500000</v>
      </c>
      <c r="AB70" s="16">
        <v>-500000</v>
      </c>
      <c r="AC70" s="16">
        <v>-500000</v>
      </c>
      <c r="AD70" s="16">
        <v>-500000</v>
      </c>
      <c r="AE70" s="16">
        <v>-500000</v>
      </c>
      <c r="AF70" s="16">
        <v>-500000</v>
      </c>
    </row>
    <row r="71" spans="2:32" x14ac:dyDescent="0.2">
      <c r="B71" s="172">
        <v>5</v>
      </c>
      <c r="C71" s="13" t="s">
        <v>100</v>
      </c>
      <c r="D71" s="164"/>
      <c r="E71" s="173" t="s">
        <v>35</v>
      </c>
      <c r="F71" s="17"/>
      <c r="G71" s="16" t="s">
        <v>240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2:32" x14ac:dyDescent="0.2">
      <c r="B72" s="172">
        <v>6</v>
      </c>
      <c r="C72" s="13" t="s">
        <v>174</v>
      </c>
      <c r="D72" s="164"/>
      <c r="E72" s="173" t="s">
        <v>35</v>
      </c>
      <c r="F72" s="17"/>
      <c r="G72" s="16" t="s">
        <v>240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2:32" x14ac:dyDescent="0.2">
      <c r="B73" s="161"/>
      <c r="C73" s="165"/>
      <c r="D73" s="165"/>
      <c r="E73" s="161"/>
      <c r="F73" s="126"/>
      <c r="H73" s="126"/>
      <c r="I73" s="126"/>
    </row>
    <row r="74" spans="2:32" ht="15.75" x14ac:dyDescent="0.25">
      <c r="B74" s="57" t="s">
        <v>190</v>
      </c>
      <c r="C74" s="57"/>
      <c r="D74" s="57"/>
      <c r="E74" s="66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</row>
    <row r="75" spans="2:32" ht="15.75" x14ac:dyDescent="0.25">
      <c r="B75" s="58" t="s">
        <v>14</v>
      </c>
      <c r="C75" s="58" t="s">
        <v>13</v>
      </c>
      <c r="D75" s="58"/>
      <c r="E75" s="62" t="s">
        <v>7</v>
      </c>
      <c r="F75" s="62" t="s">
        <v>37</v>
      </c>
      <c r="G75" s="171" t="s">
        <v>103</v>
      </c>
      <c r="H75" s="171" t="s">
        <v>104</v>
      </c>
      <c r="I75" s="171" t="s">
        <v>105</v>
      </c>
      <c r="J75" s="171" t="s">
        <v>106</v>
      </c>
      <c r="K75" s="171" t="s">
        <v>107</v>
      </c>
      <c r="L75" s="171" t="s">
        <v>108</v>
      </c>
      <c r="M75" s="171" t="s">
        <v>109</v>
      </c>
      <c r="N75" s="171" t="s">
        <v>110</v>
      </c>
      <c r="O75" s="171" t="s">
        <v>111</v>
      </c>
      <c r="P75" s="171" t="s">
        <v>112</v>
      </c>
      <c r="Q75" s="171" t="s">
        <v>113</v>
      </c>
      <c r="R75" s="171" t="s">
        <v>114</v>
      </c>
      <c r="S75" s="171" t="s">
        <v>115</v>
      </c>
      <c r="T75" s="171" t="s">
        <v>116</v>
      </c>
      <c r="U75" s="171" t="s">
        <v>117</v>
      </c>
      <c r="V75" s="171" t="s">
        <v>118</v>
      </c>
      <c r="W75" s="171" t="s">
        <v>119</v>
      </c>
      <c r="X75" s="171" t="s">
        <v>120</v>
      </c>
      <c r="Y75" s="171" t="s">
        <v>121</v>
      </c>
      <c r="Z75" s="171" t="s">
        <v>122</v>
      </c>
      <c r="AA75" s="171" t="s">
        <v>123</v>
      </c>
      <c r="AB75" s="171" t="s">
        <v>124</v>
      </c>
      <c r="AC75" s="171" t="s">
        <v>125</v>
      </c>
      <c r="AD75" s="171" t="s">
        <v>126</v>
      </c>
      <c r="AE75" s="171" t="s">
        <v>127</v>
      </c>
      <c r="AF75" s="171" t="s">
        <v>153</v>
      </c>
    </row>
    <row r="76" spans="2:32" x14ac:dyDescent="0.2">
      <c r="B76" s="172">
        <v>1</v>
      </c>
      <c r="C76" s="115" t="s">
        <v>96</v>
      </c>
      <c r="D76" s="61"/>
      <c r="E76" s="67" t="s">
        <v>35</v>
      </c>
      <c r="F76" s="17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</row>
    <row r="77" spans="2:32" x14ac:dyDescent="0.2">
      <c r="B77" s="172">
        <v>2</v>
      </c>
      <c r="C77" s="115" t="s">
        <v>97</v>
      </c>
      <c r="D77" s="61"/>
      <c r="E77" s="67" t="s">
        <v>35</v>
      </c>
      <c r="F77" s="17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</row>
    <row r="78" spans="2:32" x14ac:dyDescent="0.2">
      <c r="B78" s="172">
        <v>3</v>
      </c>
      <c r="C78" s="115" t="s">
        <v>98</v>
      </c>
      <c r="D78" s="61"/>
      <c r="E78" s="67" t="s">
        <v>35</v>
      </c>
      <c r="F78" s="17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</row>
    <row r="79" spans="2:32" x14ac:dyDescent="0.2">
      <c r="B79" s="172">
        <v>4</v>
      </c>
      <c r="C79" s="115" t="s">
        <v>99</v>
      </c>
      <c r="D79" s="61"/>
      <c r="E79" s="67" t="s">
        <v>35</v>
      </c>
      <c r="F79" s="17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</row>
    <row r="80" spans="2:32" x14ac:dyDescent="0.2">
      <c r="B80" s="172">
        <v>5</v>
      </c>
      <c r="C80" s="115" t="s">
        <v>100</v>
      </c>
      <c r="D80" s="61"/>
      <c r="E80" s="67" t="s">
        <v>35</v>
      </c>
      <c r="F80" s="17"/>
      <c r="G80" s="16" t="s">
        <v>240</v>
      </c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</row>
    <row r="81" spans="1:32" x14ac:dyDescent="0.2">
      <c r="B81" s="172">
        <v>6</v>
      </c>
      <c r="C81" s="115" t="s">
        <v>174</v>
      </c>
      <c r="D81" s="61"/>
      <c r="E81" s="67" t="s">
        <v>35</v>
      </c>
      <c r="F81" s="17"/>
      <c r="G81" s="16" t="s">
        <v>240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</row>
    <row r="83" spans="1:32" ht="21" x14ac:dyDescent="0.35">
      <c r="B83" s="162" t="s">
        <v>51</v>
      </c>
      <c r="C83" s="163"/>
      <c r="D83" s="163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</row>
    <row r="84" spans="1:32" x14ac:dyDescent="0.2">
      <c r="B84" s="161"/>
      <c r="C84" s="165"/>
      <c r="D84" s="165"/>
      <c r="E84" s="161"/>
      <c r="F84" s="161"/>
    </row>
    <row r="85" spans="1:32" ht="15.75" x14ac:dyDescent="0.25">
      <c r="B85" s="166" t="s">
        <v>66</v>
      </c>
      <c r="C85" s="167"/>
      <c r="D85" s="167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</row>
    <row r="86" spans="1:32" ht="15.75" x14ac:dyDescent="0.25">
      <c r="B86" s="168" t="s">
        <v>14</v>
      </c>
      <c r="C86" s="169" t="s">
        <v>13</v>
      </c>
      <c r="D86" s="169"/>
      <c r="E86" s="170" t="s">
        <v>22</v>
      </c>
      <c r="F86" s="170" t="s">
        <v>37</v>
      </c>
      <c r="G86" s="171" t="s">
        <v>103</v>
      </c>
      <c r="H86" s="171" t="s">
        <v>104</v>
      </c>
      <c r="I86" s="171" t="s">
        <v>105</v>
      </c>
      <c r="J86" s="171" t="s">
        <v>106</v>
      </c>
      <c r="K86" s="171" t="s">
        <v>107</v>
      </c>
      <c r="L86" s="171" t="s">
        <v>108</v>
      </c>
      <c r="M86" s="171" t="s">
        <v>109</v>
      </c>
      <c r="N86" s="171" t="s">
        <v>110</v>
      </c>
      <c r="O86" s="171" t="s">
        <v>111</v>
      </c>
      <c r="P86" s="171" t="s">
        <v>112</v>
      </c>
      <c r="Q86" s="171" t="s">
        <v>113</v>
      </c>
      <c r="R86" s="171" t="s">
        <v>114</v>
      </c>
      <c r="S86" s="171" t="s">
        <v>115</v>
      </c>
      <c r="T86" s="171" t="s">
        <v>116</v>
      </c>
      <c r="U86" s="171" t="s">
        <v>117</v>
      </c>
      <c r="V86" s="171" t="s">
        <v>118</v>
      </c>
      <c r="W86" s="171" t="s">
        <v>119</v>
      </c>
      <c r="X86" s="171" t="s">
        <v>120</v>
      </c>
      <c r="Y86" s="171" t="s">
        <v>121</v>
      </c>
      <c r="Z86" s="171" t="s">
        <v>122</v>
      </c>
      <c r="AA86" s="171" t="s">
        <v>123</v>
      </c>
      <c r="AB86" s="171" t="s">
        <v>124</v>
      </c>
      <c r="AC86" s="171" t="s">
        <v>125</v>
      </c>
      <c r="AD86" s="171" t="s">
        <v>126</v>
      </c>
      <c r="AE86" s="171" t="s">
        <v>127</v>
      </c>
      <c r="AF86" s="171" t="s">
        <v>153</v>
      </c>
    </row>
    <row r="87" spans="1:32" x14ac:dyDescent="0.2">
      <c r="A87" s="231"/>
      <c r="B87" s="172">
        <v>1</v>
      </c>
      <c r="C87" s="13" t="s">
        <v>96</v>
      </c>
      <c r="D87" s="164"/>
      <c r="E87" s="173" t="s">
        <v>35</v>
      </c>
      <c r="F87" s="17">
        <v>-10451881.848056018</v>
      </c>
      <c r="G87" s="16">
        <v>0</v>
      </c>
      <c r="H87" s="16">
        <v>-208703.36287954357</v>
      </c>
      <c r="I87" s="16">
        <v>-100.28797924133323</v>
      </c>
      <c r="J87" s="16">
        <v>-373524.18854388222</v>
      </c>
      <c r="K87" s="16">
        <v>-13275228.156640127</v>
      </c>
      <c r="L87" s="16">
        <v>-118.90543251975612</v>
      </c>
      <c r="M87" s="16">
        <v>-125.85755628544621</v>
      </c>
      <c r="N87" s="16">
        <v>-133.67492313531397</v>
      </c>
      <c r="O87" s="16">
        <v>-141.01914674723173</v>
      </c>
      <c r="P87" s="16">
        <v>-149.33041337916598</v>
      </c>
      <c r="Q87" s="16">
        <v>-157.97814353904391</v>
      </c>
      <c r="R87" s="16">
        <v>-167.97804335811043</v>
      </c>
      <c r="S87" s="16">
        <v>-177.16437501303199</v>
      </c>
      <c r="T87" s="16">
        <v>-187.81748626495528</v>
      </c>
      <c r="U87" s="16">
        <v>-198.89641652146906</v>
      </c>
      <c r="V87" s="16">
        <v>-211.26758405906617</v>
      </c>
      <c r="W87" s="16">
        <v>-223.29453993942525</v>
      </c>
      <c r="X87" s="16">
        <v>-236.24647991655729</v>
      </c>
      <c r="Y87" s="16">
        <v>-249.95690493926145</v>
      </c>
      <c r="Z87" s="16">
        <v>-265.69950778060002</v>
      </c>
      <c r="AA87" s="16">
        <v>-281.02224716901378</v>
      </c>
      <c r="AB87" s="16">
        <v>-296.34864377539702</v>
      </c>
      <c r="AC87" s="16">
        <v>-314.31403814881332</v>
      </c>
      <c r="AD87" s="16">
        <v>-333.8037604882511</v>
      </c>
      <c r="AE87" s="16">
        <v>-351.02537291377757</v>
      </c>
      <c r="AF87" s="16">
        <v>-371.45200276559262</v>
      </c>
    </row>
    <row r="88" spans="1:32" x14ac:dyDescent="0.2">
      <c r="A88" s="231"/>
      <c r="B88" s="172">
        <v>2</v>
      </c>
      <c r="C88" s="13" t="s">
        <v>97</v>
      </c>
      <c r="D88" s="164"/>
      <c r="E88" s="173" t="s">
        <v>35</v>
      </c>
      <c r="F88" s="17">
        <v>-10451881.848056018</v>
      </c>
      <c r="G88" s="16">
        <v>0</v>
      </c>
      <c r="H88" s="16">
        <v>-208703.36287954357</v>
      </c>
      <c r="I88" s="16">
        <v>-100.28797924133323</v>
      </c>
      <c r="J88" s="16">
        <v>-373524.18854388222</v>
      </c>
      <c r="K88" s="16">
        <v>-13275228.156640127</v>
      </c>
      <c r="L88" s="16">
        <v>-118.90543251975612</v>
      </c>
      <c r="M88" s="16">
        <v>-125.85755628544621</v>
      </c>
      <c r="N88" s="16">
        <v>-133.67492313531397</v>
      </c>
      <c r="O88" s="16">
        <v>-141.01914674723173</v>
      </c>
      <c r="P88" s="16">
        <v>-149.33041337916598</v>
      </c>
      <c r="Q88" s="16">
        <v>-157.97814353904391</v>
      </c>
      <c r="R88" s="16">
        <v>-167.97804335811043</v>
      </c>
      <c r="S88" s="16">
        <v>-177.16437501303199</v>
      </c>
      <c r="T88" s="16">
        <v>-187.81748626495528</v>
      </c>
      <c r="U88" s="16">
        <v>-198.89641652146906</v>
      </c>
      <c r="V88" s="16">
        <v>-211.26758405906617</v>
      </c>
      <c r="W88" s="16">
        <v>-223.29453993942525</v>
      </c>
      <c r="X88" s="16">
        <v>-236.24647991655729</v>
      </c>
      <c r="Y88" s="16">
        <v>-249.95690493926145</v>
      </c>
      <c r="Z88" s="16">
        <v>-265.69950778060002</v>
      </c>
      <c r="AA88" s="16">
        <v>-281.02224716901378</v>
      </c>
      <c r="AB88" s="16">
        <v>-296.34864377539702</v>
      </c>
      <c r="AC88" s="16">
        <v>-314.31403814881332</v>
      </c>
      <c r="AD88" s="16">
        <v>-333.8037604882511</v>
      </c>
      <c r="AE88" s="16">
        <v>-351.02537291377757</v>
      </c>
      <c r="AF88" s="16">
        <v>-371.45200276559262</v>
      </c>
    </row>
    <row r="89" spans="1:32" x14ac:dyDescent="0.2">
      <c r="A89" s="231"/>
      <c r="B89" s="172">
        <v>3</v>
      </c>
      <c r="C89" s="13" t="s">
        <v>98</v>
      </c>
      <c r="D89" s="164"/>
      <c r="E89" s="173" t="s">
        <v>35</v>
      </c>
      <c r="F89" s="17">
        <v>-10601681.408986978</v>
      </c>
      <c r="G89" s="16">
        <v>0</v>
      </c>
      <c r="H89" s="16">
        <v>-211665.19129366498</v>
      </c>
      <c r="I89" s="16">
        <v>-232.97544450403871</v>
      </c>
      <c r="J89" s="16">
        <v>-378705.91390520707</v>
      </c>
      <c r="K89" s="16">
        <v>-13462470.258974254</v>
      </c>
      <c r="L89" s="16">
        <v>-276.46311458119555</v>
      </c>
      <c r="M89" s="16">
        <v>-292.33760186909592</v>
      </c>
      <c r="N89" s="16">
        <v>-310.7196735036988</v>
      </c>
      <c r="O89" s="16">
        <v>-328.24105495241474</v>
      </c>
      <c r="P89" s="16">
        <v>-347.99092949618375</v>
      </c>
      <c r="Q89" s="16">
        <v>-368.91159354237379</v>
      </c>
      <c r="R89" s="16">
        <v>-391.7819393812033</v>
      </c>
      <c r="S89" s="16">
        <v>-413.27643936726781</v>
      </c>
      <c r="T89" s="16">
        <v>-438.321820797182</v>
      </c>
      <c r="U89" s="16">
        <v>-464.18312248561642</v>
      </c>
      <c r="V89" s="16">
        <v>-490.55097204523531</v>
      </c>
      <c r="W89" s="16">
        <v>-518.37890819299105</v>
      </c>
      <c r="X89" s="16">
        <v>-549.49055085397572</v>
      </c>
      <c r="Y89" s="16">
        <v>-581.53438214532639</v>
      </c>
      <c r="Z89" s="16">
        <v>-617.81984973185718</v>
      </c>
      <c r="AA89" s="16">
        <v>-653.22267105721198</v>
      </c>
      <c r="AB89" s="16">
        <v>-689.27369354596181</v>
      </c>
      <c r="AC89" s="16">
        <v>-731.55557506497598</v>
      </c>
      <c r="AD89" s="16">
        <v>-777.55173691052369</v>
      </c>
      <c r="AE89" s="16">
        <v>-816.36251776988229</v>
      </c>
      <c r="AF89" s="16">
        <v>-863.51454849034553</v>
      </c>
    </row>
    <row r="90" spans="1:32" x14ac:dyDescent="0.2">
      <c r="A90" s="231"/>
      <c r="B90" s="172">
        <v>4</v>
      </c>
      <c r="C90" s="13" t="s">
        <v>99</v>
      </c>
      <c r="D90" s="164"/>
      <c r="E90" s="173" t="s">
        <v>35</v>
      </c>
      <c r="F90" s="17">
        <v>-2329227.7425580136</v>
      </c>
      <c r="G90" s="16">
        <v>0</v>
      </c>
      <c r="H90" s="16">
        <v>-52279.06745198858</v>
      </c>
      <c r="I90" s="16">
        <v>-21.003001012579944</v>
      </c>
      <c r="J90" s="16">
        <v>-16187.81686168164</v>
      </c>
      <c r="K90" s="16">
        <v>-3022606.734175846</v>
      </c>
      <c r="L90" s="16">
        <v>-24.929364123633491</v>
      </c>
      <c r="M90" s="16">
        <v>-26.391465762771418</v>
      </c>
      <c r="N90" s="16">
        <v>-28.039756395454333</v>
      </c>
      <c r="O90" s="16">
        <v>-29.586360609638064</v>
      </c>
      <c r="P90" s="16">
        <v>-31.331718166330234</v>
      </c>
      <c r="Q90" s="16">
        <v>-33.190280421627904</v>
      </c>
      <c r="R90" s="16">
        <v>-35.270457486343503</v>
      </c>
      <c r="S90" s="16">
        <v>-37.193627444263257</v>
      </c>
      <c r="T90" s="16">
        <v>-39.48205075754322</v>
      </c>
      <c r="U90" s="16">
        <v>-41.859469780444897</v>
      </c>
      <c r="V90" s="16">
        <v>-44.347184881857174</v>
      </c>
      <c r="W90" s="16">
        <v>-46.879512909784353</v>
      </c>
      <c r="X90" s="16">
        <v>-49.584084672307426</v>
      </c>
      <c r="Y90" s="16">
        <v>-52.480507965214429</v>
      </c>
      <c r="Z90" s="16">
        <v>-55.785738273985089</v>
      </c>
      <c r="AA90" s="16">
        <v>-59.013272843671075</v>
      </c>
      <c r="AB90" s="16">
        <v>-62.264563039305813</v>
      </c>
      <c r="AC90" s="16">
        <v>-66.082781013613612</v>
      </c>
      <c r="AD90" s="16">
        <v>-70.246004836659722</v>
      </c>
      <c r="AE90" s="16">
        <v>-73.813398350421721</v>
      </c>
      <c r="AF90" s="16">
        <v>-78.105291480718279</v>
      </c>
    </row>
    <row r="91" spans="1:32" x14ac:dyDescent="0.2">
      <c r="A91" s="231"/>
      <c r="B91" s="172">
        <v>5</v>
      </c>
      <c r="C91" s="13" t="s">
        <v>100</v>
      </c>
      <c r="D91" s="164"/>
      <c r="E91" s="173" t="s">
        <v>35</v>
      </c>
      <c r="F91" s="17"/>
      <c r="G91" s="16" t="s">
        <v>240</v>
      </c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x14ac:dyDescent="0.2">
      <c r="A92" s="231"/>
      <c r="B92" s="172">
        <v>6</v>
      </c>
      <c r="C92" s="13" t="s">
        <v>174</v>
      </c>
      <c r="D92" s="164"/>
      <c r="E92" s="173" t="s">
        <v>35</v>
      </c>
      <c r="F92" s="17"/>
      <c r="G92" s="16" t="s">
        <v>240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x14ac:dyDescent="0.2">
      <c r="B93" s="161"/>
      <c r="C93" s="165"/>
      <c r="D93" s="165"/>
      <c r="E93" s="161"/>
      <c r="F93" s="126"/>
    </row>
    <row r="94" spans="1:32" ht="15.75" x14ac:dyDescent="0.25">
      <c r="B94" s="166" t="s">
        <v>60</v>
      </c>
      <c r="C94" s="167"/>
      <c r="D94" s="167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</row>
    <row r="95" spans="1:32" ht="15.75" x14ac:dyDescent="0.25">
      <c r="B95" s="168" t="s">
        <v>14</v>
      </c>
      <c r="C95" s="169" t="s">
        <v>13</v>
      </c>
      <c r="D95" s="169"/>
      <c r="E95" s="170" t="s">
        <v>22</v>
      </c>
      <c r="F95" s="170" t="s">
        <v>37</v>
      </c>
      <c r="G95" s="171" t="s">
        <v>103</v>
      </c>
      <c r="H95" s="171" t="s">
        <v>104</v>
      </c>
      <c r="I95" s="171" t="s">
        <v>105</v>
      </c>
      <c r="J95" s="171" t="s">
        <v>106</v>
      </c>
      <c r="K95" s="171" t="s">
        <v>107</v>
      </c>
      <c r="L95" s="171" t="s">
        <v>108</v>
      </c>
      <c r="M95" s="171" t="s">
        <v>109</v>
      </c>
      <c r="N95" s="171" t="s">
        <v>110</v>
      </c>
      <c r="O95" s="171" t="s">
        <v>111</v>
      </c>
      <c r="P95" s="171" t="s">
        <v>112</v>
      </c>
      <c r="Q95" s="171" t="s">
        <v>113</v>
      </c>
      <c r="R95" s="171" t="s">
        <v>114</v>
      </c>
      <c r="S95" s="171" t="s">
        <v>115</v>
      </c>
      <c r="T95" s="171" t="s">
        <v>116</v>
      </c>
      <c r="U95" s="171" t="s">
        <v>117</v>
      </c>
      <c r="V95" s="171" t="s">
        <v>118</v>
      </c>
      <c r="W95" s="171" t="s">
        <v>119</v>
      </c>
      <c r="X95" s="171" t="s">
        <v>120</v>
      </c>
      <c r="Y95" s="171" t="s">
        <v>121</v>
      </c>
      <c r="Z95" s="171" t="s">
        <v>122</v>
      </c>
      <c r="AA95" s="171" t="s">
        <v>123</v>
      </c>
      <c r="AB95" s="171" t="s">
        <v>124</v>
      </c>
      <c r="AC95" s="171" t="s">
        <v>125</v>
      </c>
      <c r="AD95" s="171" t="s">
        <v>126</v>
      </c>
      <c r="AE95" s="171" t="s">
        <v>127</v>
      </c>
      <c r="AF95" s="171" t="s">
        <v>153</v>
      </c>
    </row>
    <row r="96" spans="1:32" x14ac:dyDescent="0.2">
      <c r="B96" s="172">
        <v>1</v>
      </c>
      <c r="C96" s="13" t="s">
        <v>96</v>
      </c>
      <c r="D96" s="164"/>
      <c r="E96" s="173" t="s">
        <v>35</v>
      </c>
      <c r="F96" s="17">
        <v>78844245.309798613</v>
      </c>
      <c r="G96" s="16">
        <v>0</v>
      </c>
      <c r="H96" s="16">
        <v>-315.49146525652986</v>
      </c>
      <c r="I96" s="16">
        <v>42634071.04979074</v>
      </c>
      <c r="J96" s="16">
        <v>-2212081.5663641691</v>
      </c>
      <c r="K96" s="16">
        <v>2372690.9356478453</v>
      </c>
      <c r="L96" s="16">
        <v>48931735.621122628</v>
      </c>
      <c r="M96" s="16">
        <v>-22172291.699778318</v>
      </c>
      <c r="N96" s="16">
        <v>1353079.8797217607</v>
      </c>
      <c r="O96" s="16">
        <v>71923750.741852045</v>
      </c>
      <c r="P96" s="16">
        <v>69362545.5784325</v>
      </c>
      <c r="Q96" s="16">
        <v>-103716836.57664037</v>
      </c>
      <c r="R96" s="16">
        <v>-1188321.3908768371</v>
      </c>
      <c r="S96" s="16">
        <v>-7781581.1914200783</v>
      </c>
      <c r="T96" s="16">
        <v>-21241624.392925948</v>
      </c>
      <c r="U96" s="16">
        <v>-262.20699751859433</v>
      </c>
      <c r="V96" s="16">
        <v>-20390899.744640291</v>
      </c>
      <c r="W96" s="16">
        <v>69709732.32834512</v>
      </c>
      <c r="X96" s="16">
        <v>-33742116.538603306</v>
      </c>
      <c r="Y96" s="16">
        <v>-854282.15763145685</v>
      </c>
      <c r="Z96" s="16">
        <v>1584790.4374834429</v>
      </c>
      <c r="AA96" s="16">
        <v>-3140651.3200074881</v>
      </c>
      <c r="AB96" s="16">
        <v>22503189.227202415</v>
      </c>
      <c r="AC96" s="16">
        <v>-2838923.2228517532</v>
      </c>
      <c r="AD96" s="16">
        <v>-7196347.0961757749</v>
      </c>
      <c r="AE96" s="16">
        <v>-10.311485210505673</v>
      </c>
      <c r="AF96" s="16">
        <v>4.9681399851199473</v>
      </c>
    </row>
    <row r="97" spans="2:32" x14ac:dyDescent="0.2">
      <c r="B97" s="172">
        <v>2</v>
      </c>
      <c r="C97" s="13" t="s">
        <v>97</v>
      </c>
      <c r="D97" s="164"/>
      <c r="E97" s="173" t="s">
        <v>35</v>
      </c>
      <c r="F97" s="17">
        <v>78844245.309798613</v>
      </c>
      <c r="G97" s="16">
        <v>0</v>
      </c>
      <c r="H97" s="16">
        <v>-315.49146525652986</v>
      </c>
      <c r="I97" s="16">
        <v>42634071.04979074</v>
      </c>
      <c r="J97" s="16">
        <v>-2212081.5663641691</v>
      </c>
      <c r="K97" s="16">
        <v>2372690.9356478453</v>
      </c>
      <c r="L97" s="16">
        <v>48931735.621122628</v>
      </c>
      <c r="M97" s="16">
        <v>-22172291.699778318</v>
      </c>
      <c r="N97" s="16">
        <v>1353079.8797217607</v>
      </c>
      <c r="O97" s="16">
        <v>71923750.741852045</v>
      </c>
      <c r="P97" s="16">
        <v>69362545.5784325</v>
      </c>
      <c r="Q97" s="16">
        <v>-103716836.57664037</v>
      </c>
      <c r="R97" s="16">
        <v>-1188321.3908768371</v>
      </c>
      <c r="S97" s="16">
        <v>-7781581.1914200783</v>
      </c>
      <c r="T97" s="16">
        <v>-21241624.392925948</v>
      </c>
      <c r="U97" s="16">
        <v>-262.20699751859433</v>
      </c>
      <c r="V97" s="16">
        <v>-20390899.744640291</v>
      </c>
      <c r="W97" s="16">
        <v>69709732.32834512</v>
      </c>
      <c r="X97" s="16">
        <v>-33742116.538603306</v>
      </c>
      <c r="Y97" s="16">
        <v>-854282.15763145685</v>
      </c>
      <c r="Z97" s="16">
        <v>1584790.4374834429</v>
      </c>
      <c r="AA97" s="16">
        <v>-3140651.3200074881</v>
      </c>
      <c r="AB97" s="16">
        <v>22503189.227202415</v>
      </c>
      <c r="AC97" s="16">
        <v>-2838923.2228517532</v>
      </c>
      <c r="AD97" s="16">
        <v>-7196347.0961757749</v>
      </c>
      <c r="AE97" s="16">
        <v>-10.311485210505673</v>
      </c>
      <c r="AF97" s="16">
        <v>4.9681399851199473</v>
      </c>
    </row>
    <row r="98" spans="2:32" x14ac:dyDescent="0.2">
      <c r="B98" s="172">
        <v>3</v>
      </c>
      <c r="C98" s="13" t="s">
        <v>98</v>
      </c>
      <c r="D98" s="164"/>
      <c r="E98" s="173" t="s">
        <v>35</v>
      </c>
      <c r="F98" s="17">
        <v>79316253.76794292</v>
      </c>
      <c r="G98" s="16">
        <v>0</v>
      </c>
      <c r="H98" s="16">
        <v>-723.83772285793566</v>
      </c>
      <c r="I98" s="16">
        <v>42546547.570843756</v>
      </c>
      <c r="J98" s="16">
        <v>-1566956.6291220188</v>
      </c>
      <c r="K98" s="16">
        <v>2956590.3636415005</v>
      </c>
      <c r="L98" s="16">
        <v>47882358.815371305</v>
      </c>
      <c r="M98" s="16">
        <v>-25147121.483691335</v>
      </c>
      <c r="N98" s="16">
        <v>3454071.3942473531</v>
      </c>
      <c r="O98" s="16">
        <v>77689709.74892509</v>
      </c>
      <c r="P98" s="16">
        <v>68435245.553607792</v>
      </c>
      <c r="Q98" s="16">
        <v>-105868040.87099192</v>
      </c>
      <c r="R98" s="16">
        <v>-1174247.8241130225</v>
      </c>
      <c r="S98" s="16">
        <v>-6781326.3206942081</v>
      </c>
      <c r="T98" s="16">
        <v>-21452209.948628575</v>
      </c>
      <c r="U98" s="16">
        <v>-569.94266947671372</v>
      </c>
      <c r="V98" s="16">
        <v>-27503300.401327908</v>
      </c>
      <c r="W98" s="16">
        <v>73343941.258129239</v>
      </c>
      <c r="X98" s="16">
        <v>-34224450.63980484</v>
      </c>
      <c r="Y98" s="16">
        <v>809681.09914430976</v>
      </c>
      <c r="Z98" s="16">
        <v>2051243.3151942641</v>
      </c>
      <c r="AA98" s="16">
        <v>-3170229.3148285747</v>
      </c>
      <c r="AB98" s="16">
        <v>22948202.123390526</v>
      </c>
      <c r="AC98" s="16">
        <v>-5173490.0334948301</v>
      </c>
      <c r="AD98" s="16">
        <v>-6077619.1313971281</v>
      </c>
      <c r="AE98" s="16">
        <v>-24.354322579612891</v>
      </c>
      <c r="AF98" s="16">
        <v>-6.5330479219494109</v>
      </c>
    </row>
    <row r="99" spans="2:32" x14ac:dyDescent="0.2">
      <c r="B99" s="172">
        <v>4</v>
      </c>
      <c r="C99" s="13" t="s">
        <v>99</v>
      </c>
      <c r="D99" s="164"/>
      <c r="E99" s="173" t="s">
        <v>35</v>
      </c>
      <c r="F99" s="17">
        <v>2151177.1650750907</v>
      </c>
      <c r="G99" s="16">
        <v>0</v>
      </c>
      <c r="H99" s="16">
        <v>-79.534274151286354</v>
      </c>
      <c r="I99" s="16">
        <v>3891477.8582885861</v>
      </c>
      <c r="J99" s="16">
        <v>2313050.7533676028</v>
      </c>
      <c r="K99" s="16">
        <v>2800766.9534062743</v>
      </c>
      <c r="L99" s="16">
        <v>816603.70537257195</v>
      </c>
      <c r="M99" s="16">
        <v>2489918.5562419891</v>
      </c>
      <c r="N99" s="16">
        <v>-7056358.3298100829</v>
      </c>
      <c r="O99" s="16">
        <v>6168815.682694912</v>
      </c>
      <c r="P99" s="16">
        <v>-36283.275788903236</v>
      </c>
      <c r="Q99" s="16">
        <v>-9046712.2401801944</v>
      </c>
      <c r="R99" s="16">
        <v>-1147305.5984025374</v>
      </c>
      <c r="S99" s="16">
        <v>-2041898.9404536486</v>
      </c>
      <c r="T99" s="16">
        <v>2576012.8421359062</v>
      </c>
      <c r="U99" s="16">
        <v>-43.156278217552199</v>
      </c>
      <c r="V99" s="16">
        <v>-4950887.2566827536</v>
      </c>
      <c r="W99" s="16">
        <v>-2866487.9150434136</v>
      </c>
      <c r="X99" s="16">
        <v>4222665.0837652683</v>
      </c>
      <c r="Y99" s="16">
        <v>-629719.20313566923</v>
      </c>
      <c r="Z99" s="16">
        <v>-1152724.0842500441</v>
      </c>
      <c r="AA99" s="16">
        <v>166297.84365394711</v>
      </c>
      <c r="AB99" s="16">
        <v>3989739.6983935535</v>
      </c>
      <c r="AC99" s="16">
        <v>-2614078.2413250208</v>
      </c>
      <c r="AD99" s="16">
        <v>1366419.8733854592</v>
      </c>
      <c r="AE99" s="16">
        <v>4.0039499220197712</v>
      </c>
      <c r="AF99" s="16">
        <v>6.077669512485496</v>
      </c>
    </row>
    <row r="100" spans="2:32" x14ac:dyDescent="0.2">
      <c r="B100" s="172">
        <v>5</v>
      </c>
      <c r="C100" s="13" t="s">
        <v>100</v>
      </c>
      <c r="D100" s="164"/>
      <c r="E100" s="173" t="s">
        <v>35</v>
      </c>
      <c r="F100" s="17"/>
      <c r="G100" s="16" t="s">
        <v>240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2:32" x14ac:dyDescent="0.2">
      <c r="B101" s="172">
        <v>6</v>
      </c>
      <c r="C101" s="13" t="s">
        <v>174</v>
      </c>
      <c r="D101" s="164"/>
      <c r="E101" s="173" t="s">
        <v>35</v>
      </c>
      <c r="F101" s="17"/>
      <c r="G101" s="16" t="s">
        <v>240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2:32" x14ac:dyDescent="0.2">
      <c r="B102" s="161"/>
      <c r="C102" s="165"/>
      <c r="D102" s="165"/>
      <c r="E102" s="161"/>
      <c r="F102" s="126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</row>
    <row r="103" spans="2:32" ht="15.75" x14ac:dyDescent="0.25">
      <c r="B103" s="166" t="s">
        <v>27</v>
      </c>
      <c r="C103" s="167"/>
      <c r="D103" s="167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</row>
    <row r="104" spans="2:32" ht="15.75" x14ac:dyDescent="0.25">
      <c r="B104" s="168" t="s">
        <v>14</v>
      </c>
      <c r="C104" s="169" t="s">
        <v>13</v>
      </c>
      <c r="D104" s="169"/>
      <c r="E104" s="170" t="s">
        <v>22</v>
      </c>
      <c r="F104" s="170" t="s">
        <v>37</v>
      </c>
      <c r="G104" s="171" t="s">
        <v>103</v>
      </c>
      <c r="H104" s="171" t="s">
        <v>104</v>
      </c>
      <c r="I104" s="171" t="s">
        <v>105</v>
      </c>
      <c r="J104" s="171" t="s">
        <v>106</v>
      </c>
      <c r="K104" s="171" t="s">
        <v>107</v>
      </c>
      <c r="L104" s="171" t="s">
        <v>108</v>
      </c>
      <c r="M104" s="171" t="s">
        <v>109</v>
      </c>
      <c r="N104" s="171" t="s">
        <v>110</v>
      </c>
      <c r="O104" s="171" t="s">
        <v>111</v>
      </c>
      <c r="P104" s="171" t="s">
        <v>112</v>
      </c>
      <c r="Q104" s="171" t="s">
        <v>113</v>
      </c>
      <c r="R104" s="171" t="s">
        <v>114</v>
      </c>
      <c r="S104" s="171" t="s">
        <v>115</v>
      </c>
      <c r="T104" s="171" t="s">
        <v>116</v>
      </c>
      <c r="U104" s="171" t="s">
        <v>117</v>
      </c>
      <c r="V104" s="171" t="s">
        <v>118</v>
      </c>
      <c r="W104" s="171" t="s">
        <v>119</v>
      </c>
      <c r="X104" s="171" t="s">
        <v>120</v>
      </c>
      <c r="Y104" s="171" t="s">
        <v>121</v>
      </c>
      <c r="Z104" s="171" t="s">
        <v>122</v>
      </c>
      <c r="AA104" s="171" t="s">
        <v>123</v>
      </c>
      <c r="AB104" s="171" t="s">
        <v>124</v>
      </c>
      <c r="AC104" s="171" t="s">
        <v>125</v>
      </c>
      <c r="AD104" s="171" t="s">
        <v>126</v>
      </c>
      <c r="AE104" s="171" t="s">
        <v>127</v>
      </c>
      <c r="AF104" s="171" t="s">
        <v>153</v>
      </c>
    </row>
    <row r="105" spans="2:32" x14ac:dyDescent="0.2">
      <c r="B105" s="172">
        <v>1</v>
      </c>
      <c r="C105" s="13" t="s">
        <v>96</v>
      </c>
      <c r="D105" s="164"/>
      <c r="E105" s="173" t="s">
        <v>35</v>
      </c>
      <c r="F105" s="17">
        <v>72910302.016213179</v>
      </c>
      <c r="G105" s="16">
        <v>0</v>
      </c>
      <c r="H105" s="16">
        <v>3513049.4910850525</v>
      </c>
      <c r="I105" s="16">
        <v>4103552.0698390007</v>
      </c>
      <c r="J105" s="16">
        <v>1708727.4842100143</v>
      </c>
      <c r="K105" s="16">
        <v>4090253.224093914</v>
      </c>
      <c r="L105" s="16">
        <v>13166572.521890163</v>
      </c>
      <c r="M105" s="16">
        <v>-1974810.2184376717</v>
      </c>
      <c r="N105" s="16">
        <v>-475874.29135704041</v>
      </c>
      <c r="O105" s="16">
        <v>-1761652.6908290386</v>
      </c>
      <c r="P105" s="16">
        <v>9145603.1502027512</v>
      </c>
      <c r="Q105" s="16">
        <v>24138808.993537664</v>
      </c>
      <c r="R105" s="16">
        <v>23074433.80999577</v>
      </c>
      <c r="S105" s="16">
        <v>19254673.626928687</v>
      </c>
      <c r="T105" s="16">
        <v>25478560.279581785</v>
      </c>
      <c r="U105" s="16">
        <v>27167594.18159318</v>
      </c>
      <c r="V105" s="16">
        <v>824031.18350696564</v>
      </c>
      <c r="W105" s="16">
        <v>-2281688.2769458294</v>
      </c>
      <c r="X105" s="16">
        <v>-2242719.292981863</v>
      </c>
      <c r="Y105" s="16">
        <v>-4327.5321477651596</v>
      </c>
      <c r="Z105" s="16">
        <v>-2768701.5865063667</v>
      </c>
      <c r="AA105" s="16">
        <v>-5267359.8763988018</v>
      </c>
      <c r="AB105" s="16">
        <v>-1985476.1638983488</v>
      </c>
      <c r="AC105" s="16">
        <v>-3833326.2057478428</v>
      </c>
      <c r="AD105" s="16">
        <v>-1659981.4169267416</v>
      </c>
      <c r="AE105" s="16">
        <v>-1328420.8007113338</v>
      </c>
      <c r="AF105" s="16">
        <v>-1365464.9151986241</v>
      </c>
    </row>
    <row r="106" spans="2:32" x14ac:dyDescent="0.2">
      <c r="B106" s="172">
        <v>2</v>
      </c>
      <c r="C106" s="13" t="s">
        <v>97</v>
      </c>
      <c r="D106" s="164"/>
      <c r="E106" s="173" t="s">
        <v>35</v>
      </c>
      <c r="F106" s="17">
        <v>72910302.016213179</v>
      </c>
      <c r="G106" s="16">
        <v>0</v>
      </c>
      <c r="H106" s="16">
        <v>3513049.4910850525</v>
      </c>
      <c r="I106" s="16">
        <v>4103552.0698390007</v>
      </c>
      <c r="J106" s="16">
        <v>1708727.4842100143</v>
      </c>
      <c r="K106" s="16">
        <v>4090253.224093914</v>
      </c>
      <c r="L106" s="16">
        <v>13166572.521890163</v>
      </c>
      <c r="M106" s="16">
        <v>-1974810.2184376717</v>
      </c>
      <c r="N106" s="16">
        <v>-475874.29135704041</v>
      </c>
      <c r="O106" s="16">
        <v>-1761652.6908290386</v>
      </c>
      <c r="P106" s="16">
        <v>9145603.1502027512</v>
      </c>
      <c r="Q106" s="16">
        <v>24138808.993537664</v>
      </c>
      <c r="R106" s="16">
        <v>23074433.80999577</v>
      </c>
      <c r="S106" s="16">
        <v>19254673.626928687</v>
      </c>
      <c r="T106" s="16">
        <v>25478560.279581785</v>
      </c>
      <c r="U106" s="16">
        <v>27167594.18159318</v>
      </c>
      <c r="V106" s="16">
        <v>824031.18350696564</v>
      </c>
      <c r="W106" s="16">
        <v>-2281688.2769458294</v>
      </c>
      <c r="X106" s="16">
        <v>-2242719.292981863</v>
      </c>
      <c r="Y106" s="16">
        <v>-4327.5321477651596</v>
      </c>
      <c r="Z106" s="16">
        <v>-2768701.5865063667</v>
      </c>
      <c r="AA106" s="16">
        <v>-5267359.8763988018</v>
      </c>
      <c r="AB106" s="16">
        <v>-1985476.1638983488</v>
      </c>
      <c r="AC106" s="16">
        <v>-3833326.2057478428</v>
      </c>
      <c r="AD106" s="16">
        <v>-1659981.4169267416</v>
      </c>
      <c r="AE106" s="16">
        <v>-1328420.8007113338</v>
      </c>
      <c r="AF106" s="16">
        <v>-1365464.9151986241</v>
      </c>
    </row>
    <row r="107" spans="2:32" x14ac:dyDescent="0.2">
      <c r="B107" s="172">
        <v>3</v>
      </c>
      <c r="C107" s="13" t="s">
        <v>98</v>
      </c>
      <c r="D107" s="164"/>
      <c r="E107" s="173" t="s">
        <v>35</v>
      </c>
      <c r="F107" s="17">
        <v>78373311.247207582</v>
      </c>
      <c r="G107" s="16">
        <v>0</v>
      </c>
      <c r="H107" s="16">
        <v>3632122.1543059349</v>
      </c>
      <c r="I107" s="16">
        <v>4216711.1779732704</v>
      </c>
      <c r="J107" s="16">
        <v>1752704.4440615177</v>
      </c>
      <c r="K107" s="16">
        <v>4702244.7060079575</v>
      </c>
      <c r="L107" s="16">
        <v>14637577.504882097</v>
      </c>
      <c r="M107" s="16">
        <v>-125445.23150253296</v>
      </c>
      <c r="N107" s="16">
        <v>1274296.8486998081</v>
      </c>
      <c r="O107" s="16">
        <v>-1736483.5689532757</v>
      </c>
      <c r="P107" s="16">
        <v>9627733.5678801537</v>
      </c>
      <c r="Q107" s="16">
        <v>24630027.808747292</v>
      </c>
      <c r="R107" s="16">
        <v>24271411.940529227</v>
      </c>
      <c r="S107" s="16">
        <v>19911227.618108749</v>
      </c>
      <c r="T107" s="16">
        <v>25486981.954140663</v>
      </c>
      <c r="U107" s="16">
        <v>27531012.904951215</v>
      </c>
      <c r="V107" s="16">
        <v>1397390.9564827681</v>
      </c>
      <c r="W107" s="16">
        <v>-2359029.1453082561</v>
      </c>
      <c r="X107" s="16">
        <v>-2355392.2854931355</v>
      </c>
      <c r="Y107" s="16">
        <v>-141041.16751646996</v>
      </c>
      <c r="Z107" s="16">
        <v>-2909955.2814103365</v>
      </c>
      <c r="AA107" s="16">
        <v>-5810334.1759293079</v>
      </c>
      <c r="AB107" s="16">
        <v>-2261866.8117049932</v>
      </c>
      <c r="AC107" s="16">
        <v>-3629868.0474284887</v>
      </c>
      <c r="AD107" s="16">
        <v>-1840590.8503862619</v>
      </c>
      <c r="AE107" s="16">
        <v>-1435309.3296686411</v>
      </c>
      <c r="AF107" s="16">
        <v>-1589015.5006089807</v>
      </c>
    </row>
    <row r="108" spans="2:32" x14ac:dyDescent="0.2">
      <c r="B108" s="172">
        <v>4</v>
      </c>
      <c r="C108" s="13" t="s">
        <v>99</v>
      </c>
      <c r="D108" s="164"/>
      <c r="E108" s="173" t="s">
        <v>35</v>
      </c>
      <c r="F108" s="17">
        <v>3602678.5646236478</v>
      </c>
      <c r="G108" s="16">
        <v>0</v>
      </c>
      <c r="H108" s="16">
        <v>-235651.89202594757</v>
      </c>
      <c r="I108" s="16">
        <v>956651.14539527893</v>
      </c>
      <c r="J108" s="16">
        <v>860794.9388384819</v>
      </c>
      <c r="K108" s="16">
        <v>918975.70493865013</v>
      </c>
      <c r="L108" s="16">
        <v>977405.98624134064</v>
      </c>
      <c r="M108" s="16">
        <v>-942283.09135198593</v>
      </c>
      <c r="N108" s="16">
        <v>-255972.3381357193</v>
      </c>
      <c r="O108" s="16">
        <v>405845.19518280029</v>
      </c>
      <c r="P108" s="16">
        <v>795457.08098340034</v>
      </c>
      <c r="Q108" s="16">
        <v>1933995.7522437572</v>
      </c>
      <c r="R108" s="16">
        <v>1584372.4841840267</v>
      </c>
      <c r="S108" s="16">
        <v>12797.505062818527</v>
      </c>
      <c r="T108" s="16">
        <v>47501.50999212265</v>
      </c>
      <c r="U108" s="16">
        <v>637513.43677830696</v>
      </c>
      <c r="V108" s="16">
        <v>-247371.53940546513</v>
      </c>
      <c r="W108" s="16">
        <v>-36118.199355840683</v>
      </c>
      <c r="X108" s="16">
        <v>-419454.58019065857</v>
      </c>
      <c r="Y108" s="16">
        <v>372823.78904426098</v>
      </c>
      <c r="Z108" s="16">
        <v>-529150.93348550797</v>
      </c>
      <c r="AA108" s="16">
        <v>-604535.14501678944</v>
      </c>
      <c r="AB108" s="16">
        <v>-533417.62959682941</v>
      </c>
      <c r="AC108" s="16">
        <v>-427028.7119461298</v>
      </c>
      <c r="AD108" s="16">
        <v>-793981.2794367075</v>
      </c>
      <c r="AE108" s="16">
        <v>-263181.7659804821</v>
      </c>
      <c r="AF108" s="16">
        <v>-293879.1654266715</v>
      </c>
    </row>
    <row r="109" spans="2:32" x14ac:dyDescent="0.2">
      <c r="B109" s="172">
        <v>5</v>
      </c>
      <c r="C109" s="13" t="s">
        <v>100</v>
      </c>
      <c r="D109" s="164"/>
      <c r="E109" s="173" t="s">
        <v>35</v>
      </c>
      <c r="F109" s="17"/>
      <c r="G109" s="16" t="s">
        <v>240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2:32" x14ac:dyDescent="0.2">
      <c r="B110" s="172">
        <v>6</v>
      </c>
      <c r="C110" s="13" t="s">
        <v>174</v>
      </c>
      <c r="D110" s="164"/>
      <c r="E110" s="173" t="s">
        <v>35</v>
      </c>
      <c r="F110" s="17"/>
      <c r="G110" s="16" t="s">
        <v>240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2:32" x14ac:dyDescent="0.2">
      <c r="B111" s="161"/>
      <c r="C111" s="165"/>
      <c r="D111" s="165"/>
      <c r="E111" s="161"/>
      <c r="F111" s="126"/>
    </row>
    <row r="112" spans="2:32" ht="15.75" x14ac:dyDescent="0.25">
      <c r="B112" s="166" t="s">
        <v>29</v>
      </c>
      <c r="C112" s="167"/>
      <c r="D112" s="167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</row>
    <row r="113" spans="2:32" ht="15.75" x14ac:dyDescent="0.25">
      <c r="B113" s="168" t="s">
        <v>14</v>
      </c>
      <c r="C113" s="169" t="s">
        <v>13</v>
      </c>
      <c r="D113" s="169"/>
      <c r="E113" s="170" t="s">
        <v>22</v>
      </c>
      <c r="F113" s="170" t="s">
        <v>37</v>
      </c>
      <c r="G113" s="171" t="s">
        <v>103</v>
      </c>
      <c r="H113" s="171" t="s">
        <v>104</v>
      </c>
      <c r="I113" s="171" t="s">
        <v>105</v>
      </c>
      <c r="J113" s="171" t="s">
        <v>106</v>
      </c>
      <c r="K113" s="171" t="s">
        <v>107</v>
      </c>
      <c r="L113" s="171" t="s">
        <v>108</v>
      </c>
      <c r="M113" s="171" t="s">
        <v>109</v>
      </c>
      <c r="N113" s="171" t="s">
        <v>110</v>
      </c>
      <c r="O113" s="171" t="s">
        <v>111</v>
      </c>
      <c r="P113" s="171" t="s">
        <v>112</v>
      </c>
      <c r="Q113" s="171" t="s">
        <v>113</v>
      </c>
      <c r="R113" s="171" t="s">
        <v>114</v>
      </c>
      <c r="S113" s="171" t="s">
        <v>115</v>
      </c>
      <c r="T113" s="171" t="s">
        <v>116</v>
      </c>
      <c r="U113" s="171" t="s">
        <v>117</v>
      </c>
      <c r="V113" s="171" t="s">
        <v>118</v>
      </c>
      <c r="W113" s="171" t="s">
        <v>119</v>
      </c>
      <c r="X113" s="171" t="s">
        <v>120</v>
      </c>
      <c r="Y113" s="171" t="s">
        <v>121</v>
      </c>
      <c r="Z113" s="171" t="s">
        <v>122</v>
      </c>
      <c r="AA113" s="171" t="s">
        <v>123</v>
      </c>
      <c r="AB113" s="171" t="s">
        <v>124</v>
      </c>
      <c r="AC113" s="171" t="s">
        <v>125</v>
      </c>
      <c r="AD113" s="171" t="s">
        <v>126</v>
      </c>
      <c r="AE113" s="171" t="s">
        <v>127</v>
      </c>
      <c r="AF113" s="171" t="s">
        <v>153</v>
      </c>
    </row>
    <row r="114" spans="2:32" x14ac:dyDescent="0.2">
      <c r="B114" s="172">
        <v>1</v>
      </c>
      <c r="C114" s="13" t="s">
        <v>96</v>
      </c>
      <c r="D114" s="164"/>
      <c r="E114" s="173" t="s">
        <v>35</v>
      </c>
      <c r="F114" s="17">
        <v>3810614.2178820111</v>
      </c>
      <c r="G114" s="16">
        <v>0</v>
      </c>
      <c r="H114" s="16">
        <v>-6994.990434117266</v>
      </c>
      <c r="I114" s="16">
        <v>-448.5880813460135</v>
      </c>
      <c r="J114" s="16">
        <v>-12421.744211854879</v>
      </c>
      <c r="K114" s="16">
        <v>-581699.80499971448</v>
      </c>
      <c r="L114" s="16">
        <v>-543.34321490725006</v>
      </c>
      <c r="M114" s="16">
        <v>-563.35819721052758</v>
      </c>
      <c r="N114" s="16">
        <v>-601.10776489870977</v>
      </c>
      <c r="O114" s="16">
        <v>-638.76071964979337</v>
      </c>
      <c r="P114" s="16">
        <v>-676.30872437908693</v>
      </c>
      <c r="Q114" s="16">
        <v>-721.27463561482818</v>
      </c>
      <c r="R114" s="16">
        <v>-758.25082765081333</v>
      </c>
      <c r="S114" s="16">
        <v>12861.452091727377</v>
      </c>
      <c r="T114" s="16">
        <v>-917.71841912160744</v>
      </c>
      <c r="U114" s="16">
        <v>-948.05766825300361</v>
      </c>
      <c r="V114" s="16">
        <v>385223.65929476789</v>
      </c>
      <c r="W114" s="16">
        <v>349279.43956243573</v>
      </c>
      <c r="X114" s="16">
        <v>-13122937.138254914</v>
      </c>
      <c r="Y114" s="16">
        <v>1264168.0706069339</v>
      </c>
      <c r="Z114" s="16">
        <v>1882594.1813186705</v>
      </c>
      <c r="AA114" s="16">
        <v>5368058.729949981</v>
      </c>
      <c r="AB114" s="16">
        <v>1755741.5435633659</v>
      </c>
      <c r="AC114" s="16">
        <v>6962203.1531654298</v>
      </c>
      <c r="AD114" s="16">
        <v>7726518.6399406791</v>
      </c>
      <c r="AE114" s="16">
        <v>2402912.8506290019</v>
      </c>
      <c r="AF114" s="16">
        <v>5025809.2325701118</v>
      </c>
    </row>
    <row r="115" spans="2:32" x14ac:dyDescent="0.2">
      <c r="B115" s="172">
        <v>2</v>
      </c>
      <c r="C115" s="13" t="s">
        <v>97</v>
      </c>
      <c r="D115" s="164"/>
      <c r="E115" s="173" t="s">
        <v>35</v>
      </c>
      <c r="F115" s="17">
        <v>3810614.2178820111</v>
      </c>
      <c r="G115" s="16">
        <v>0</v>
      </c>
      <c r="H115" s="16">
        <v>-6994.990434117266</v>
      </c>
      <c r="I115" s="16">
        <v>-448.5880813460135</v>
      </c>
      <c r="J115" s="16">
        <v>-12421.744211854879</v>
      </c>
      <c r="K115" s="16">
        <v>-581699.80499971448</v>
      </c>
      <c r="L115" s="16">
        <v>-543.34321490725006</v>
      </c>
      <c r="M115" s="16">
        <v>-563.35819721052758</v>
      </c>
      <c r="N115" s="16">
        <v>-601.10776489870977</v>
      </c>
      <c r="O115" s="16">
        <v>-638.76071964979337</v>
      </c>
      <c r="P115" s="16">
        <v>-676.30872437908693</v>
      </c>
      <c r="Q115" s="16">
        <v>-721.27463561482818</v>
      </c>
      <c r="R115" s="16">
        <v>-758.25082765081333</v>
      </c>
      <c r="S115" s="16">
        <v>12861.452091727377</v>
      </c>
      <c r="T115" s="16">
        <v>-917.71841912160744</v>
      </c>
      <c r="U115" s="16">
        <v>-948.05766825300361</v>
      </c>
      <c r="V115" s="16">
        <v>385223.65929476789</v>
      </c>
      <c r="W115" s="16">
        <v>349279.43956243573</v>
      </c>
      <c r="X115" s="16">
        <v>-13122937.138254914</v>
      </c>
      <c r="Y115" s="16">
        <v>1264168.0706069339</v>
      </c>
      <c r="Z115" s="16">
        <v>1882594.1813186705</v>
      </c>
      <c r="AA115" s="16">
        <v>5368058.729949981</v>
      </c>
      <c r="AB115" s="16">
        <v>1755741.5435633659</v>
      </c>
      <c r="AC115" s="16">
        <v>6962203.1531654298</v>
      </c>
      <c r="AD115" s="16">
        <v>7726518.6399406791</v>
      </c>
      <c r="AE115" s="16">
        <v>2402912.8506290019</v>
      </c>
      <c r="AF115" s="16">
        <v>5025809.2325701118</v>
      </c>
    </row>
    <row r="116" spans="2:32" x14ac:dyDescent="0.2">
      <c r="B116" s="172">
        <v>3</v>
      </c>
      <c r="C116" s="13" t="s">
        <v>98</v>
      </c>
      <c r="D116" s="164"/>
      <c r="E116" s="173" t="s">
        <v>35</v>
      </c>
      <c r="F116" s="17">
        <v>3961149.2973020067</v>
      </c>
      <c r="G116" s="16">
        <v>0</v>
      </c>
      <c r="H116" s="16">
        <v>-7647.335818055406</v>
      </c>
      <c r="I116" s="16">
        <v>-1020.1331072083944</v>
      </c>
      <c r="J116" s="16">
        <v>-13202.520587206236</v>
      </c>
      <c r="K116" s="16">
        <v>-606412.93739936291</v>
      </c>
      <c r="L116" s="16">
        <v>-1236.7204713133128</v>
      </c>
      <c r="M116" s="16">
        <v>-1275.2357208375147</v>
      </c>
      <c r="N116" s="16">
        <v>-1361.7158064957807</v>
      </c>
      <c r="O116" s="16">
        <v>-1452.1195603879328</v>
      </c>
      <c r="P116" s="16">
        <v>-1551.7483864866399</v>
      </c>
      <c r="Q116" s="16">
        <v>-1687.0035048897307</v>
      </c>
      <c r="R116" s="16">
        <v>-1743.8580963429213</v>
      </c>
      <c r="S116" s="16">
        <v>11755.637548420607</v>
      </c>
      <c r="T116" s="16">
        <v>-2144.6764160257253</v>
      </c>
      <c r="U116" s="16">
        <v>-2195.0599938135956</v>
      </c>
      <c r="V116" s="16">
        <v>313080.69774770475</v>
      </c>
      <c r="W116" s="16">
        <v>347933.61072776141</v>
      </c>
      <c r="X116" s="16">
        <v>-13343125.363356117</v>
      </c>
      <c r="Y116" s="16">
        <v>1273666.4622552153</v>
      </c>
      <c r="Z116" s="16">
        <v>1930657.8691450581</v>
      </c>
      <c r="AA116" s="16">
        <v>5546651.2647484094</v>
      </c>
      <c r="AB116" s="16">
        <v>1842125.0875904262</v>
      </c>
      <c r="AC116" s="16">
        <v>7719525.5631474555</v>
      </c>
      <c r="AD116" s="16">
        <v>7338648.5306934714</v>
      </c>
      <c r="AE116" s="16">
        <v>2218485.0507676005</v>
      </c>
      <c r="AF116" s="16">
        <v>5587170.9502410293</v>
      </c>
    </row>
    <row r="117" spans="2:32" x14ac:dyDescent="0.2">
      <c r="B117" s="172">
        <v>4</v>
      </c>
      <c r="C117" s="13" t="s">
        <v>99</v>
      </c>
      <c r="D117" s="164"/>
      <c r="E117" s="173" t="s">
        <v>35</v>
      </c>
      <c r="F117" s="17">
        <v>133271.85089800329</v>
      </c>
      <c r="G117" s="16">
        <v>0</v>
      </c>
      <c r="H117" s="16">
        <v>-1755.3510072537756</v>
      </c>
      <c r="I117" s="16">
        <v>-114.44061846560135</v>
      </c>
      <c r="J117" s="16">
        <v>-2203.1484401408816</v>
      </c>
      <c r="K117" s="16">
        <v>-131.1742803750094</v>
      </c>
      <c r="L117" s="16">
        <v>-137.36168742418067</v>
      </c>
      <c r="M117" s="16">
        <v>-141.24424932268766</v>
      </c>
      <c r="N117" s="16">
        <v>-150.6989241725596</v>
      </c>
      <c r="O117" s="16">
        <v>-159.95707720042037</v>
      </c>
      <c r="P117" s="16">
        <v>-172.6171116153364</v>
      </c>
      <c r="Q117" s="16">
        <v>-190.58612528727372</v>
      </c>
      <c r="R117" s="16">
        <v>-192.27387521336004</v>
      </c>
      <c r="S117" s="16">
        <v>25.03249047146528</v>
      </c>
      <c r="T117" s="16">
        <v>-244.96745950075911</v>
      </c>
      <c r="U117" s="16">
        <v>-246.12028825180914</v>
      </c>
      <c r="V117" s="16">
        <v>-208.66619700542651</v>
      </c>
      <c r="W117" s="16">
        <v>-29388.649968878599</v>
      </c>
      <c r="X117" s="16">
        <v>172435.05442336574</v>
      </c>
      <c r="Y117" s="16">
        <v>-37723.145632414147</v>
      </c>
      <c r="Z117" s="16">
        <v>-83278.824233353138</v>
      </c>
      <c r="AA117" s="16">
        <v>-127785.1343434304</v>
      </c>
      <c r="AB117" s="16">
        <v>-212505.25882069767</v>
      </c>
      <c r="AC117" s="16">
        <v>104500.53236612678</v>
      </c>
      <c r="AD117" s="16">
        <v>1249686.5260770917</v>
      </c>
      <c r="AE117" s="16">
        <v>-806444.5706089437</v>
      </c>
      <c r="AF117" s="16">
        <v>327638.19688600302</v>
      </c>
    </row>
    <row r="118" spans="2:32" x14ac:dyDescent="0.2">
      <c r="B118" s="172">
        <v>5</v>
      </c>
      <c r="C118" s="13" t="s">
        <v>100</v>
      </c>
      <c r="D118" s="164"/>
      <c r="E118" s="173" t="s">
        <v>35</v>
      </c>
      <c r="F118" s="17"/>
      <c r="G118" s="16" t="s">
        <v>240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2:32" x14ac:dyDescent="0.2">
      <c r="B119" s="172">
        <v>6</v>
      </c>
      <c r="C119" s="13" t="s">
        <v>174</v>
      </c>
      <c r="D119" s="164"/>
      <c r="E119" s="173" t="s">
        <v>35</v>
      </c>
      <c r="F119" s="17"/>
      <c r="G119" s="16" t="s">
        <v>240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2:32" x14ac:dyDescent="0.2">
      <c r="B120" s="161"/>
      <c r="C120" s="165"/>
      <c r="D120" s="165"/>
      <c r="E120" s="161"/>
      <c r="F120" s="126"/>
    </row>
    <row r="121" spans="2:32" ht="15.75" x14ac:dyDescent="0.25">
      <c r="B121" s="166" t="s">
        <v>78</v>
      </c>
      <c r="C121" s="167"/>
      <c r="D121" s="167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</row>
    <row r="122" spans="2:32" ht="15.75" x14ac:dyDescent="0.25">
      <c r="B122" s="168" t="s">
        <v>14</v>
      </c>
      <c r="C122" s="169" t="s">
        <v>13</v>
      </c>
      <c r="D122" s="169"/>
      <c r="E122" s="170" t="s">
        <v>22</v>
      </c>
      <c r="F122" s="170" t="s">
        <v>37</v>
      </c>
      <c r="G122" s="171" t="s">
        <v>103</v>
      </c>
      <c r="H122" s="171" t="s">
        <v>104</v>
      </c>
      <c r="I122" s="171" t="s">
        <v>105</v>
      </c>
      <c r="J122" s="171" t="s">
        <v>106</v>
      </c>
      <c r="K122" s="171" t="s">
        <v>107</v>
      </c>
      <c r="L122" s="171" t="s">
        <v>108</v>
      </c>
      <c r="M122" s="171" t="s">
        <v>109</v>
      </c>
      <c r="N122" s="171" t="s">
        <v>110</v>
      </c>
      <c r="O122" s="171" t="s">
        <v>111</v>
      </c>
      <c r="P122" s="171" t="s">
        <v>112</v>
      </c>
      <c r="Q122" s="171" t="s">
        <v>113</v>
      </c>
      <c r="R122" s="171" t="s">
        <v>114</v>
      </c>
      <c r="S122" s="171" t="s">
        <v>115</v>
      </c>
      <c r="T122" s="171" t="s">
        <v>116</v>
      </c>
      <c r="U122" s="171" t="s">
        <v>117</v>
      </c>
      <c r="V122" s="171" t="s">
        <v>118</v>
      </c>
      <c r="W122" s="171" t="s">
        <v>119</v>
      </c>
      <c r="X122" s="171" t="s">
        <v>120</v>
      </c>
      <c r="Y122" s="171" t="s">
        <v>121</v>
      </c>
      <c r="Z122" s="171" t="s">
        <v>122</v>
      </c>
      <c r="AA122" s="171" t="s">
        <v>123</v>
      </c>
      <c r="AB122" s="171" t="s">
        <v>124</v>
      </c>
      <c r="AC122" s="171" t="s">
        <v>125</v>
      </c>
      <c r="AD122" s="171" t="s">
        <v>126</v>
      </c>
      <c r="AE122" s="171" t="s">
        <v>127</v>
      </c>
      <c r="AF122" s="171" t="s">
        <v>153</v>
      </c>
    </row>
    <row r="123" spans="2:32" x14ac:dyDescent="0.2">
      <c r="B123" s="172">
        <v>1</v>
      </c>
      <c r="C123" s="13" t="s">
        <v>96</v>
      </c>
      <c r="D123" s="164"/>
      <c r="E123" s="173" t="s">
        <v>35</v>
      </c>
      <c r="F123" s="17">
        <v>180613494.72130153</v>
      </c>
      <c r="G123" s="16">
        <v>0</v>
      </c>
      <c r="H123" s="16">
        <v>57667202.819020748</v>
      </c>
      <c r="I123" s="16">
        <v>137895892.53594208</v>
      </c>
      <c r="J123" s="16">
        <v>30137903.467272758</v>
      </c>
      <c r="K123" s="16">
        <v>-31291002.339161873</v>
      </c>
      <c r="L123" s="16">
        <v>15138629.960686207</v>
      </c>
      <c r="M123" s="16">
        <v>571091930.3792057</v>
      </c>
      <c r="N123" s="16">
        <v>-142117490.58473635</v>
      </c>
      <c r="O123" s="16">
        <v>-54923075.06492424</v>
      </c>
      <c r="P123" s="16">
        <v>-307756945.61386681</v>
      </c>
      <c r="Q123" s="16">
        <v>-502203272.91851616</v>
      </c>
      <c r="R123" s="16">
        <v>-7890113.4197976589</v>
      </c>
      <c r="S123" s="16">
        <v>528318578.15781784</v>
      </c>
      <c r="T123" s="16">
        <v>-151825792.08140564</v>
      </c>
      <c r="U123" s="16">
        <v>-3457950.5133630037</v>
      </c>
      <c r="V123" s="16">
        <v>-27378319.833184481</v>
      </c>
      <c r="W123" s="16">
        <v>53309635.992359161</v>
      </c>
      <c r="X123" s="16">
        <v>37190083.310373306</v>
      </c>
      <c r="Y123" s="16">
        <v>-23381744.465843201</v>
      </c>
      <c r="Z123" s="16">
        <v>24401298.502774715</v>
      </c>
      <c r="AA123" s="16">
        <v>-17940537.737111568</v>
      </c>
      <c r="AB123" s="16">
        <v>-39988441.682790279</v>
      </c>
      <c r="AC123" s="16">
        <v>14045555.195972919</v>
      </c>
      <c r="AD123" s="16">
        <v>-10367478.308317304</v>
      </c>
      <c r="AE123" s="16">
        <v>-4251348.3066928387</v>
      </c>
      <c r="AF123" s="16">
        <v>-113966.4719555378</v>
      </c>
    </row>
    <row r="124" spans="2:32" x14ac:dyDescent="0.2">
      <c r="B124" s="172">
        <v>2</v>
      </c>
      <c r="C124" s="13" t="s">
        <v>97</v>
      </c>
      <c r="D124" s="164"/>
      <c r="E124" s="173" t="s">
        <v>35</v>
      </c>
      <c r="F124" s="17">
        <v>180613494.72130153</v>
      </c>
      <c r="G124" s="16">
        <v>0</v>
      </c>
      <c r="H124" s="16">
        <v>57667202.819020748</v>
      </c>
      <c r="I124" s="16">
        <v>137895892.53594208</v>
      </c>
      <c r="J124" s="16">
        <v>30137903.467272758</v>
      </c>
      <c r="K124" s="16">
        <v>-31291002.339161873</v>
      </c>
      <c r="L124" s="16">
        <v>15138629.960686207</v>
      </c>
      <c r="M124" s="16">
        <v>571091930.3792057</v>
      </c>
      <c r="N124" s="16">
        <v>-142117490.58473635</v>
      </c>
      <c r="O124" s="16">
        <v>-54923075.06492424</v>
      </c>
      <c r="P124" s="16">
        <v>-307756945.61386681</v>
      </c>
      <c r="Q124" s="16">
        <v>-502203272.91851616</v>
      </c>
      <c r="R124" s="16">
        <v>-7890113.4197976589</v>
      </c>
      <c r="S124" s="16">
        <v>528318578.15781784</v>
      </c>
      <c r="T124" s="16">
        <v>-151825792.08140564</v>
      </c>
      <c r="U124" s="16">
        <v>-3457950.5133630037</v>
      </c>
      <c r="V124" s="16">
        <v>-27378319.833184481</v>
      </c>
      <c r="W124" s="16">
        <v>53309635.992359161</v>
      </c>
      <c r="X124" s="16">
        <v>37190083.310373306</v>
      </c>
      <c r="Y124" s="16">
        <v>-23381744.465843201</v>
      </c>
      <c r="Z124" s="16">
        <v>24401298.502774715</v>
      </c>
      <c r="AA124" s="16">
        <v>-17940537.737111568</v>
      </c>
      <c r="AB124" s="16">
        <v>-39988441.682790279</v>
      </c>
      <c r="AC124" s="16">
        <v>14045555.195972919</v>
      </c>
      <c r="AD124" s="16">
        <v>-10367478.308317304</v>
      </c>
      <c r="AE124" s="16">
        <v>-4251348.3066928387</v>
      </c>
      <c r="AF124" s="16">
        <v>-113966.4719555378</v>
      </c>
    </row>
    <row r="125" spans="2:32" x14ac:dyDescent="0.2">
      <c r="B125" s="172">
        <v>3</v>
      </c>
      <c r="C125" s="13" t="s">
        <v>98</v>
      </c>
      <c r="D125" s="164"/>
      <c r="E125" s="173" t="s">
        <v>35</v>
      </c>
      <c r="F125" s="17">
        <v>197670193.27553573</v>
      </c>
      <c r="G125" s="16">
        <v>0</v>
      </c>
      <c r="H125" s="16">
        <v>58443579.493515968</v>
      </c>
      <c r="I125" s="16">
        <v>143550658.74791718</v>
      </c>
      <c r="J125" s="16">
        <v>30141205.014912605</v>
      </c>
      <c r="K125" s="16">
        <v>-31388633.475413322</v>
      </c>
      <c r="L125" s="16">
        <v>20505417.405391693</v>
      </c>
      <c r="M125" s="16">
        <v>580006668.78097916</v>
      </c>
      <c r="N125" s="16">
        <v>-145641285.68797445</v>
      </c>
      <c r="O125" s="16">
        <v>-39679302.708486557</v>
      </c>
      <c r="P125" s="16">
        <v>-313487437.59745312</v>
      </c>
      <c r="Q125" s="16">
        <v>-518221453.97398663</v>
      </c>
      <c r="R125" s="16">
        <v>-7653045.8455104828</v>
      </c>
      <c r="S125" s="16">
        <v>534982213.28227615</v>
      </c>
      <c r="T125" s="16">
        <v>-144458549.11520004</v>
      </c>
      <c r="U125" s="16">
        <v>-3402382.8764284849</v>
      </c>
      <c r="V125" s="16">
        <v>-37322585.271782637</v>
      </c>
      <c r="W125" s="16">
        <v>59489818.978602171</v>
      </c>
      <c r="X125" s="16">
        <v>42375840.74905014</v>
      </c>
      <c r="Y125" s="16">
        <v>-23801197.947315216</v>
      </c>
      <c r="Z125" s="16">
        <v>29967681.145159245</v>
      </c>
      <c r="AA125" s="16">
        <v>-18189920.504532099</v>
      </c>
      <c r="AB125" s="16">
        <v>-49314743.989301205</v>
      </c>
      <c r="AC125" s="16">
        <v>16718540.909736156</v>
      </c>
      <c r="AD125" s="16">
        <v>-8623154.7325459719</v>
      </c>
      <c r="AE125" s="16">
        <v>-4584910.5939048529</v>
      </c>
      <c r="AF125" s="16">
        <v>-179516.15815532207</v>
      </c>
    </row>
    <row r="126" spans="2:32" x14ac:dyDescent="0.2">
      <c r="B126" s="172">
        <v>4</v>
      </c>
      <c r="C126" s="13" t="s">
        <v>99</v>
      </c>
      <c r="D126" s="164"/>
      <c r="E126" s="173" t="s">
        <v>35</v>
      </c>
      <c r="F126" s="17">
        <v>47601218.707025975</v>
      </c>
      <c r="G126" s="16">
        <v>0</v>
      </c>
      <c r="H126" s="16">
        <v>14386384.474057674</v>
      </c>
      <c r="I126" s="16">
        <v>-21399322.97366333</v>
      </c>
      <c r="J126" s="16">
        <v>25871506.631043434</v>
      </c>
      <c r="K126" s="16">
        <v>4835582.6719517708</v>
      </c>
      <c r="L126" s="16">
        <v>8071064.5429677963</v>
      </c>
      <c r="M126" s="16">
        <v>98621755.395671844</v>
      </c>
      <c r="N126" s="16">
        <v>-40418935.272475719</v>
      </c>
      <c r="O126" s="16">
        <v>-35716086.042572975</v>
      </c>
      <c r="P126" s="16">
        <v>9426116.9363656044</v>
      </c>
      <c r="Q126" s="16">
        <v>-45067618.238483429</v>
      </c>
      <c r="R126" s="16">
        <v>-6390783.5421699286</v>
      </c>
      <c r="S126" s="16">
        <v>70831071.293169022</v>
      </c>
      <c r="T126" s="16">
        <v>84033.848701000214</v>
      </c>
      <c r="U126" s="16">
        <v>-371886.53162944317</v>
      </c>
      <c r="V126" s="16">
        <v>-7083526.1421813965</v>
      </c>
      <c r="W126" s="16">
        <v>-7326994.1125888824</v>
      </c>
      <c r="X126" s="16">
        <v>2926766.2835693359</v>
      </c>
      <c r="Y126" s="16">
        <v>1023009.7417764664</v>
      </c>
      <c r="Z126" s="16">
        <v>-2880501.7252078056</v>
      </c>
      <c r="AA126" s="16">
        <v>587271.13340234756</v>
      </c>
      <c r="AB126" s="16">
        <v>-9259433.3246092796</v>
      </c>
      <c r="AC126" s="16">
        <v>-3170827.8671717644</v>
      </c>
      <c r="AD126" s="16">
        <v>1964439.3072568178</v>
      </c>
      <c r="AE126" s="16">
        <v>58500.58738386631</v>
      </c>
      <c r="AF126" s="16">
        <v>67477.262823581696</v>
      </c>
    </row>
    <row r="127" spans="2:32" x14ac:dyDescent="0.2">
      <c r="B127" s="172">
        <v>5</v>
      </c>
      <c r="C127" s="13" t="s">
        <v>100</v>
      </c>
      <c r="D127" s="164"/>
      <c r="E127" s="173" t="s">
        <v>35</v>
      </c>
      <c r="F127" s="17"/>
      <c r="G127" s="16" t="s">
        <v>240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2:32" x14ac:dyDescent="0.2">
      <c r="B128" s="172">
        <v>6</v>
      </c>
      <c r="C128" s="13" t="s">
        <v>174</v>
      </c>
      <c r="D128" s="164"/>
      <c r="E128" s="173" t="s">
        <v>35</v>
      </c>
      <c r="F128" s="17"/>
      <c r="G128" s="16" t="s">
        <v>240</v>
      </c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2:32" x14ac:dyDescent="0.2">
      <c r="F129" s="144"/>
    </row>
    <row r="130" spans="2:32" ht="15.75" x14ac:dyDescent="0.25">
      <c r="B130" s="57" t="s">
        <v>191</v>
      </c>
      <c r="C130" s="57"/>
      <c r="D130" s="57"/>
      <c r="E130" s="66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</row>
    <row r="131" spans="2:32" ht="15.75" x14ac:dyDescent="0.25">
      <c r="B131" s="58" t="s">
        <v>14</v>
      </c>
      <c r="C131" s="58" t="s">
        <v>13</v>
      </c>
      <c r="D131" s="58"/>
      <c r="E131" s="62" t="s">
        <v>7</v>
      </c>
      <c r="F131" s="62" t="s">
        <v>37</v>
      </c>
      <c r="G131" s="171" t="s">
        <v>103</v>
      </c>
      <c r="H131" s="171" t="s">
        <v>104</v>
      </c>
      <c r="I131" s="171" t="s">
        <v>105</v>
      </c>
      <c r="J131" s="171" t="s">
        <v>106</v>
      </c>
      <c r="K131" s="171" t="s">
        <v>107</v>
      </c>
      <c r="L131" s="171" t="s">
        <v>108</v>
      </c>
      <c r="M131" s="171" t="s">
        <v>109</v>
      </c>
      <c r="N131" s="171" t="s">
        <v>110</v>
      </c>
      <c r="O131" s="171" t="s">
        <v>111</v>
      </c>
      <c r="P131" s="171" t="s">
        <v>112</v>
      </c>
      <c r="Q131" s="171" t="s">
        <v>113</v>
      </c>
      <c r="R131" s="171" t="s">
        <v>114</v>
      </c>
      <c r="S131" s="171" t="s">
        <v>115</v>
      </c>
      <c r="T131" s="171" t="s">
        <v>116</v>
      </c>
      <c r="U131" s="171" t="s">
        <v>117</v>
      </c>
      <c r="V131" s="171" t="s">
        <v>118</v>
      </c>
      <c r="W131" s="171" t="s">
        <v>119</v>
      </c>
      <c r="X131" s="171" t="s">
        <v>120</v>
      </c>
      <c r="Y131" s="171" t="s">
        <v>121</v>
      </c>
      <c r="Z131" s="171" t="s">
        <v>122</v>
      </c>
      <c r="AA131" s="171" t="s">
        <v>123</v>
      </c>
      <c r="AB131" s="171" t="s">
        <v>124</v>
      </c>
      <c r="AC131" s="171" t="s">
        <v>125</v>
      </c>
      <c r="AD131" s="171" t="s">
        <v>126</v>
      </c>
      <c r="AE131" s="171" t="s">
        <v>127</v>
      </c>
      <c r="AF131" s="171" t="s">
        <v>153</v>
      </c>
    </row>
    <row r="132" spans="2:32" x14ac:dyDescent="0.2">
      <c r="B132" s="172">
        <v>1</v>
      </c>
      <c r="C132" s="115" t="s">
        <v>96</v>
      </c>
      <c r="D132" s="61"/>
      <c r="E132" s="67" t="s">
        <v>35</v>
      </c>
      <c r="F132" s="17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</row>
    <row r="133" spans="2:32" x14ac:dyDescent="0.2">
      <c r="B133" s="172">
        <v>2</v>
      </c>
      <c r="C133" s="115" t="s">
        <v>97</v>
      </c>
      <c r="D133" s="61"/>
      <c r="E133" s="67" t="s">
        <v>35</v>
      </c>
      <c r="F133" s="17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</row>
    <row r="134" spans="2:32" x14ac:dyDescent="0.2">
      <c r="B134" s="172">
        <v>3</v>
      </c>
      <c r="C134" s="115" t="s">
        <v>98</v>
      </c>
      <c r="D134" s="61"/>
      <c r="E134" s="67" t="s">
        <v>35</v>
      </c>
      <c r="F134" s="17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</row>
    <row r="135" spans="2:32" x14ac:dyDescent="0.2">
      <c r="B135" s="172">
        <v>4</v>
      </c>
      <c r="C135" s="115" t="s">
        <v>99</v>
      </c>
      <c r="D135" s="61"/>
      <c r="E135" s="67" t="s">
        <v>35</v>
      </c>
      <c r="F135" s="17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</row>
    <row r="136" spans="2:32" x14ac:dyDescent="0.2">
      <c r="B136" s="172">
        <v>5</v>
      </c>
      <c r="C136" s="115" t="s">
        <v>100</v>
      </c>
      <c r="D136" s="61"/>
      <c r="E136" s="67" t="s">
        <v>35</v>
      </c>
      <c r="F136" s="17"/>
      <c r="G136" s="16" t="s">
        <v>240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2:32" x14ac:dyDescent="0.2">
      <c r="B137" s="172">
        <v>6</v>
      </c>
      <c r="C137" s="115" t="s">
        <v>174</v>
      </c>
      <c r="D137" s="61"/>
      <c r="E137" s="67" t="s">
        <v>35</v>
      </c>
      <c r="F137" s="17"/>
      <c r="G137" s="16" t="s">
        <v>240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2:32" x14ac:dyDescent="0.2">
      <c r="B138" s="161"/>
      <c r="C138" s="165"/>
      <c r="D138" s="165"/>
      <c r="E138" s="161"/>
      <c r="F138" s="126"/>
      <c r="H138" s="126"/>
      <c r="I138" s="126"/>
    </row>
    <row r="139" spans="2:32" ht="15.75" x14ac:dyDescent="0.25">
      <c r="B139" s="57" t="s">
        <v>204</v>
      </c>
      <c r="C139" s="57"/>
      <c r="D139" s="57"/>
      <c r="E139" s="66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</row>
    <row r="140" spans="2:32" ht="15.75" x14ac:dyDescent="0.25">
      <c r="B140" s="58" t="s">
        <v>14</v>
      </c>
      <c r="C140" s="58" t="s">
        <v>13</v>
      </c>
      <c r="D140" s="58"/>
      <c r="E140" s="62" t="s">
        <v>7</v>
      </c>
      <c r="F140" s="62" t="s">
        <v>37</v>
      </c>
      <c r="G140" s="171" t="s">
        <v>103</v>
      </c>
      <c r="H140" s="171" t="s">
        <v>104</v>
      </c>
      <c r="I140" s="171" t="s">
        <v>105</v>
      </c>
      <c r="J140" s="171" t="s">
        <v>106</v>
      </c>
      <c r="K140" s="171" t="s">
        <v>107</v>
      </c>
      <c r="L140" s="171" t="s">
        <v>108</v>
      </c>
      <c r="M140" s="171" t="s">
        <v>109</v>
      </c>
      <c r="N140" s="171" t="s">
        <v>110</v>
      </c>
      <c r="O140" s="171" t="s">
        <v>111</v>
      </c>
      <c r="P140" s="171" t="s">
        <v>112</v>
      </c>
      <c r="Q140" s="171" t="s">
        <v>113</v>
      </c>
      <c r="R140" s="171" t="s">
        <v>114</v>
      </c>
      <c r="S140" s="171" t="s">
        <v>115</v>
      </c>
      <c r="T140" s="171" t="s">
        <v>116</v>
      </c>
      <c r="U140" s="171" t="s">
        <v>117</v>
      </c>
      <c r="V140" s="171" t="s">
        <v>118</v>
      </c>
      <c r="W140" s="171" t="s">
        <v>119</v>
      </c>
      <c r="X140" s="171" t="s">
        <v>120</v>
      </c>
      <c r="Y140" s="171" t="s">
        <v>121</v>
      </c>
      <c r="Z140" s="171" t="s">
        <v>122</v>
      </c>
      <c r="AA140" s="171" t="s">
        <v>123</v>
      </c>
      <c r="AB140" s="171" t="s">
        <v>124</v>
      </c>
      <c r="AC140" s="171" t="s">
        <v>125</v>
      </c>
      <c r="AD140" s="171" t="s">
        <v>126</v>
      </c>
      <c r="AE140" s="171" t="s">
        <v>127</v>
      </c>
      <c r="AF140" s="171" t="s">
        <v>153</v>
      </c>
    </row>
    <row r="141" spans="2:32" x14ac:dyDescent="0.2">
      <c r="B141" s="172">
        <v>1</v>
      </c>
      <c r="C141" s="115" t="s">
        <v>96</v>
      </c>
      <c r="D141" s="61"/>
      <c r="E141" s="67" t="s">
        <v>35</v>
      </c>
      <c r="F141" s="17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</row>
    <row r="142" spans="2:32" x14ac:dyDescent="0.2">
      <c r="B142" s="172">
        <v>2</v>
      </c>
      <c r="C142" s="115" t="s">
        <v>97</v>
      </c>
      <c r="D142" s="61"/>
      <c r="E142" s="67" t="s">
        <v>35</v>
      </c>
      <c r="F142" s="17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</row>
    <row r="143" spans="2:32" x14ac:dyDescent="0.2">
      <c r="B143" s="172">
        <v>3</v>
      </c>
      <c r="C143" s="115" t="s">
        <v>98</v>
      </c>
      <c r="D143" s="61"/>
      <c r="E143" s="67" t="s">
        <v>35</v>
      </c>
      <c r="F143" s="17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</row>
    <row r="144" spans="2:32" x14ac:dyDescent="0.2">
      <c r="B144" s="172">
        <v>4</v>
      </c>
      <c r="C144" s="115" t="s">
        <v>99</v>
      </c>
      <c r="D144" s="61"/>
      <c r="E144" s="67" t="s">
        <v>35</v>
      </c>
      <c r="F144" s="17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</row>
    <row r="145" spans="2:32" x14ac:dyDescent="0.2">
      <c r="B145" s="172">
        <v>5</v>
      </c>
      <c r="C145" s="115" t="s">
        <v>100</v>
      </c>
      <c r="D145" s="61"/>
      <c r="E145" s="67" t="s">
        <v>35</v>
      </c>
      <c r="F145" s="17"/>
      <c r="G145" s="16" t="s">
        <v>240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</row>
    <row r="146" spans="2:32" x14ac:dyDescent="0.2">
      <c r="B146" s="172">
        <v>6</v>
      </c>
      <c r="C146" s="115" t="s">
        <v>174</v>
      </c>
      <c r="D146" s="61"/>
      <c r="E146" s="67" t="s">
        <v>35</v>
      </c>
      <c r="F146" s="17"/>
      <c r="G146" s="16" t="s">
        <v>240</v>
      </c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F146"/>
  <sheetViews>
    <sheetView showGridLines="0" zoomScale="70" zoomScaleNormal="70" workbookViewId="0">
      <selection activeCell="AK93" sqref="AK93"/>
    </sheetView>
  </sheetViews>
  <sheetFormatPr defaultColWidth="9.21875" defaultRowHeight="15" x14ac:dyDescent="0.2"/>
  <cols>
    <col min="1" max="1" width="9.88671875" style="16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3.88671875" style="90" bestFit="1" customWidth="1"/>
    <col min="7" max="7" width="14.44140625" style="161" customWidth="1"/>
    <col min="8" max="32" width="13.6640625" style="161" customWidth="1"/>
    <col min="33" max="16384" width="9.21875" style="161"/>
  </cols>
  <sheetData>
    <row r="1" spans="2:32" ht="18" x14ac:dyDescent="0.25">
      <c r="B1" s="2" t="s">
        <v>202</v>
      </c>
      <c r="C1" s="165"/>
      <c r="D1" s="165"/>
      <c r="E1" s="161"/>
      <c r="F1" s="161"/>
    </row>
    <row r="2" spans="2:32" ht="15.75" x14ac:dyDescent="0.25">
      <c r="B2" s="3" t="s">
        <v>48</v>
      </c>
      <c r="C2" s="165"/>
      <c r="D2" s="165"/>
      <c r="E2" s="161"/>
      <c r="F2" s="29"/>
    </row>
    <row r="3" spans="2:32" ht="15.75" x14ac:dyDescent="0.25">
      <c r="B3" s="161"/>
      <c r="C3" s="165"/>
      <c r="D3" s="165"/>
      <c r="E3" s="161"/>
      <c r="F3" s="150"/>
    </row>
    <row r="4" spans="2:32" ht="21" x14ac:dyDescent="0.35">
      <c r="B4" s="162" t="s">
        <v>52</v>
      </c>
      <c r="C4" s="163"/>
      <c r="D4" s="163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</row>
    <row r="5" spans="2:32" x14ac:dyDescent="0.2">
      <c r="B5" s="161"/>
      <c r="C5" s="165"/>
      <c r="D5" s="165"/>
      <c r="E5" s="161"/>
      <c r="F5" s="126"/>
    </row>
    <row r="6" spans="2:32" ht="15.75" x14ac:dyDescent="0.25">
      <c r="B6" s="166" t="s">
        <v>36</v>
      </c>
      <c r="C6" s="167"/>
      <c r="D6" s="167"/>
      <c r="E6" s="10"/>
      <c r="F6" s="10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</row>
    <row r="7" spans="2:32" ht="15.75" x14ac:dyDescent="0.25">
      <c r="B7" s="168" t="s">
        <v>14</v>
      </c>
      <c r="C7" s="169" t="s">
        <v>13</v>
      </c>
      <c r="D7" s="169"/>
      <c r="E7" s="170" t="s">
        <v>22</v>
      </c>
      <c r="F7" s="170" t="s">
        <v>38</v>
      </c>
      <c r="G7" s="171" t="s">
        <v>103</v>
      </c>
      <c r="H7" s="171" t="s">
        <v>104</v>
      </c>
      <c r="I7" s="171" t="s">
        <v>105</v>
      </c>
      <c r="J7" s="171" t="s">
        <v>106</v>
      </c>
      <c r="K7" s="171" t="s">
        <v>107</v>
      </c>
      <c r="L7" s="171" t="s">
        <v>108</v>
      </c>
      <c r="M7" s="171" t="s">
        <v>109</v>
      </c>
      <c r="N7" s="171" t="s">
        <v>110</v>
      </c>
      <c r="O7" s="171" t="s">
        <v>111</v>
      </c>
      <c r="P7" s="171" t="s">
        <v>112</v>
      </c>
      <c r="Q7" s="171" t="s">
        <v>113</v>
      </c>
      <c r="R7" s="171" t="s">
        <v>114</v>
      </c>
      <c r="S7" s="171" t="s">
        <v>115</v>
      </c>
      <c r="T7" s="171" t="s">
        <v>116</v>
      </c>
      <c r="U7" s="171" t="s">
        <v>117</v>
      </c>
      <c r="V7" s="171" t="s">
        <v>118</v>
      </c>
      <c r="W7" s="171" t="s">
        <v>119</v>
      </c>
      <c r="X7" s="171" t="s">
        <v>120</v>
      </c>
      <c r="Y7" s="171" t="s">
        <v>121</v>
      </c>
      <c r="Z7" s="171" t="s">
        <v>122</v>
      </c>
      <c r="AA7" s="171" t="s">
        <v>123</v>
      </c>
      <c r="AB7" s="171" t="s">
        <v>124</v>
      </c>
      <c r="AC7" s="171" t="s">
        <v>125</v>
      </c>
      <c r="AD7" s="171" t="s">
        <v>126</v>
      </c>
      <c r="AE7" s="171" t="s">
        <v>127</v>
      </c>
      <c r="AF7" s="171" t="s">
        <v>153</v>
      </c>
    </row>
    <row r="8" spans="2:32" x14ac:dyDescent="0.2">
      <c r="B8" s="172">
        <v>1</v>
      </c>
      <c r="C8" s="13" t="s">
        <v>96</v>
      </c>
      <c r="D8" s="164"/>
      <c r="E8" s="173" t="s">
        <v>35</v>
      </c>
      <c r="F8" s="21">
        <v>13736643.271883963</v>
      </c>
      <c r="G8" s="20">
        <v>0</v>
      </c>
      <c r="H8" s="20">
        <v>-52765535.492125496</v>
      </c>
      <c r="I8" s="20">
        <v>-52770911.465996757</v>
      </c>
      <c r="J8" s="20">
        <v>-53375376.582049094</v>
      </c>
      <c r="K8" s="20">
        <v>-88190413.349103957</v>
      </c>
      <c r="L8" s="20">
        <v>8300037.5828511491</v>
      </c>
      <c r="M8" s="20">
        <v>412924301.58413804</v>
      </c>
      <c r="N8" s="20">
        <v>-131023410.12010348</v>
      </c>
      <c r="O8" s="20">
        <v>-58006430.192302287</v>
      </c>
      <c r="P8" s="20">
        <v>-27931851.078716896</v>
      </c>
      <c r="Q8" s="20">
        <v>201329270.94640204</v>
      </c>
      <c r="R8" s="20">
        <v>49147403.601495489</v>
      </c>
      <c r="S8" s="20">
        <v>46433671.879775092</v>
      </c>
      <c r="T8" s="20">
        <v>-19776497.406280242</v>
      </c>
      <c r="U8" s="20">
        <v>-234045913.00123587</v>
      </c>
      <c r="V8" s="20">
        <v>137491366.23889115</v>
      </c>
      <c r="W8" s="20">
        <v>16738654.962625537</v>
      </c>
      <c r="X8" s="20">
        <v>-150467910.7918165</v>
      </c>
      <c r="Y8" s="20">
        <v>-44823761.739478476</v>
      </c>
      <c r="Z8" s="20">
        <v>18091667.305305995</v>
      </c>
      <c r="AA8" s="20">
        <v>28303585.429476894</v>
      </c>
      <c r="AB8" s="20">
        <v>-14810402.332599495</v>
      </c>
      <c r="AC8" s="20">
        <v>-21252352.211799175</v>
      </c>
      <c r="AD8" s="20">
        <v>-8998391.1047685556</v>
      </c>
      <c r="AE8" s="20">
        <v>5589166.0115989856</v>
      </c>
      <c r="AF8" s="20">
        <v>101107483.94715951</v>
      </c>
    </row>
    <row r="9" spans="2:32" x14ac:dyDescent="0.2">
      <c r="B9" s="172">
        <v>2</v>
      </c>
      <c r="C9" s="13" t="s">
        <v>97</v>
      </c>
      <c r="D9" s="164"/>
      <c r="E9" s="173" t="s">
        <v>35</v>
      </c>
      <c r="F9" s="21">
        <v>-59046951.778528534</v>
      </c>
      <c r="G9" s="20">
        <v>0</v>
      </c>
      <c r="H9" s="20">
        <v>-75765535.492125511</v>
      </c>
      <c r="I9" s="20">
        <v>-75770911.465996757</v>
      </c>
      <c r="J9" s="20">
        <v>-76375376.582049087</v>
      </c>
      <c r="K9" s="20">
        <v>-112110413.34910397</v>
      </c>
      <c r="L9" s="20">
        <v>7380037.5828511491</v>
      </c>
      <c r="M9" s="20">
        <v>412004301.58413804</v>
      </c>
      <c r="N9" s="20">
        <v>-131943410.12010348</v>
      </c>
      <c r="O9" s="20">
        <v>-58926430.192302287</v>
      </c>
      <c r="P9" s="20">
        <v>-28851851.078716896</v>
      </c>
      <c r="Q9" s="20">
        <v>200409270.94640204</v>
      </c>
      <c r="R9" s="20">
        <v>48227403.601495489</v>
      </c>
      <c r="S9" s="20">
        <v>45513671.879775092</v>
      </c>
      <c r="T9" s="20">
        <v>-20696497.406280242</v>
      </c>
      <c r="U9" s="20">
        <v>-234965913.00123587</v>
      </c>
      <c r="V9" s="20">
        <v>136571366.23889115</v>
      </c>
      <c r="W9" s="20">
        <v>15818654.962625537</v>
      </c>
      <c r="X9" s="20">
        <v>-151387910.7918165</v>
      </c>
      <c r="Y9" s="20">
        <v>-45743761.739478476</v>
      </c>
      <c r="Z9" s="20">
        <v>17171667.305305995</v>
      </c>
      <c r="AA9" s="20">
        <v>27383585.429476894</v>
      </c>
      <c r="AB9" s="20">
        <v>-15730402.332599495</v>
      </c>
      <c r="AC9" s="20">
        <v>-22172352.211799175</v>
      </c>
      <c r="AD9" s="20">
        <v>-9918391.1047685556</v>
      </c>
      <c r="AE9" s="20">
        <v>4669166.0115989856</v>
      </c>
      <c r="AF9" s="20">
        <v>151377483.94715953</v>
      </c>
    </row>
    <row r="10" spans="2:32" x14ac:dyDescent="0.2">
      <c r="B10" s="172">
        <v>3</v>
      </c>
      <c r="C10" s="13" t="s">
        <v>98</v>
      </c>
      <c r="D10" s="164"/>
      <c r="E10" s="173" t="s">
        <v>35</v>
      </c>
      <c r="F10" s="21">
        <v>-115543660.4504171</v>
      </c>
      <c r="G10" s="20">
        <v>0</v>
      </c>
      <c r="H10" s="20">
        <v>-98259255.015659496</v>
      </c>
      <c r="I10" s="20">
        <v>-98242240.833203614</v>
      </c>
      <c r="J10" s="20">
        <v>-99032791.363356009</v>
      </c>
      <c r="K10" s="20">
        <v>-138635576.79804772</v>
      </c>
      <c r="L10" s="20">
        <v>7400276.3661783915</v>
      </c>
      <c r="M10" s="20">
        <v>421615915.14860892</v>
      </c>
      <c r="N10" s="20">
        <v>-131783258.64841017</v>
      </c>
      <c r="O10" s="20">
        <v>-57363773.52744706</v>
      </c>
      <c r="P10" s="20">
        <v>-24406966.899272047</v>
      </c>
      <c r="Q10" s="20">
        <v>201348266.01427418</v>
      </c>
      <c r="R10" s="20">
        <v>43279114.090205923</v>
      </c>
      <c r="S10" s="20">
        <v>53965177.662589051</v>
      </c>
      <c r="T10" s="20">
        <v>-19960120.28086267</v>
      </c>
      <c r="U10" s="20">
        <v>-243350356.01113206</v>
      </c>
      <c r="V10" s="20">
        <v>137490782.12387943</v>
      </c>
      <c r="W10" s="20">
        <v>14669274.277385566</v>
      </c>
      <c r="X10" s="20">
        <v>-148498655.02540031</v>
      </c>
      <c r="Y10" s="20">
        <v>-47352698.253453381</v>
      </c>
      <c r="Z10" s="20">
        <v>17775849.202362102</v>
      </c>
      <c r="AA10" s="20">
        <v>23942709.661918364</v>
      </c>
      <c r="AB10" s="20">
        <v>-12371201.273095541</v>
      </c>
      <c r="AC10" s="20">
        <v>-24846462.713216543</v>
      </c>
      <c r="AD10" s="20">
        <v>-7833570.6585948505</v>
      </c>
      <c r="AE10" s="20">
        <v>4691298.4505725261</v>
      </c>
      <c r="AF10" s="20">
        <v>201392753.30526271</v>
      </c>
    </row>
    <row r="11" spans="2:32" x14ac:dyDescent="0.2">
      <c r="B11" s="172">
        <v>4</v>
      </c>
      <c r="C11" s="13" t="s">
        <v>99</v>
      </c>
      <c r="D11" s="164"/>
      <c r="E11" s="173" t="s">
        <v>35</v>
      </c>
      <c r="F11" s="21">
        <v>-3949119.2675823094</v>
      </c>
      <c r="G11" s="20">
        <v>0</v>
      </c>
      <c r="H11" s="20">
        <v>-16643122.348406484</v>
      </c>
      <c r="I11" s="20">
        <v>-16659791.220750049</v>
      </c>
      <c r="J11" s="20">
        <v>-6411443.8177947812</v>
      </c>
      <c r="K11" s="20">
        <v>-337703.24988066894</v>
      </c>
      <c r="L11" s="20">
        <v>1225837.0351810267</v>
      </c>
      <c r="M11" s="20">
        <v>53946546.943423375</v>
      </c>
      <c r="N11" s="20">
        <v>-53695040.076906562</v>
      </c>
      <c r="O11" s="20">
        <v>1120875.7633617688</v>
      </c>
      <c r="P11" s="20">
        <v>47055121.14525526</v>
      </c>
      <c r="Q11" s="20">
        <v>39262168.755815431</v>
      </c>
      <c r="R11" s="20">
        <v>2520137.6253092629</v>
      </c>
      <c r="S11" s="20">
        <v>-53967216.815830417</v>
      </c>
      <c r="T11" s="20">
        <v>13465713.511505701</v>
      </c>
      <c r="U11" s="20">
        <v>5846660.3583202017</v>
      </c>
      <c r="V11" s="20">
        <v>-4993453.3777178638</v>
      </c>
      <c r="W11" s="20">
        <v>10212050.119271979</v>
      </c>
      <c r="X11" s="20">
        <v>-22942698.966096263</v>
      </c>
      <c r="Y11" s="20">
        <v>-10961212.41042381</v>
      </c>
      <c r="Z11" s="20">
        <v>-1361698.2905168694</v>
      </c>
      <c r="AA11" s="20">
        <v>21650021.79327618</v>
      </c>
      <c r="AB11" s="20">
        <v>-10488535.191485759</v>
      </c>
      <c r="AC11" s="20">
        <v>-1822041.9311093614</v>
      </c>
      <c r="AD11" s="20">
        <v>-7209694.2955739433</v>
      </c>
      <c r="AE11" s="20">
        <v>-2534287.1395424795</v>
      </c>
      <c r="AF11" s="20">
        <v>21322177.878389418</v>
      </c>
    </row>
    <row r="12" spans="2:32" x14ac:dyDescent="0.2">
      <c r="B12" s="172">
        <v>5</v>
      </c>
      <c r="C12" s="13" t="s">
        <v>100</v>
      </c>
      <c r="D12" s="164"/>
      <c r="E12" s="173" t="s">
        <v>35</v>
      </c>
      <c r="F12" s="21">
        <v>-62631885.84871918</v>
      </c>
      <c r="G12" s="265" t="s">
        <v>240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2:32" x14ac:dyDescent="0.2">
      <c r="B13" s="172">
        <v>6</v>
      </c>
      <c r="C13" s="13" t="s">
        <v>174</v>
      </c>
      <c r="D13" s="164"/>
      <c r="E13" s="173" t="s">
        <v>35</v>
      </c>
      <c r="F13" s="21">
        <v>-27867301.509654693</v>
      </c>
      <c r="G13" s="265" t="s">
        <v>240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2:32" x14ac:dyDescent="0.2">
      <c r="B14" s="161"/>
      <c r="C14" s="165"/>
      <c r="D14" s="165"/>
      <c r="E14" s="161"/>
      <c r="F14" s="12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</row>
    <row r="15" spans="2:32" ht="15.75" x14ac:dyDescent="0.25">
      <c r="B15" s="166" t="s">
        <v>76</v>
      </c>
      <c r="C15" s="167"/>
      <c r="D15" s="167"/>
      <c r="E15" s="10"/>
      <c r="F15" s="1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2:32" ht="15.75" x14ac:dyDescent="0.25">
      <c r="B16" s="168" t="s">
        <v>14</v>
      </c>
      <c r="C16" s="169" t="s">
        <v>13</v>
      </c>
      <c r="D16" s="169"/>
      <c r="E16" s="170" t="s">
        <v>22</v>
      </c>
      <c r="F16" s="170" t="s">
        <v>37</v>
      </c>
      <c r="G16" s="171" t="s">
        <v>103</v>
      </c>
      <c r="H16" s="171" t="s">
        <v>104</v>
      </c>
      <c r="I16" s="171" t="s">
        <v>105</v>
      </c>
      <c r="J16" s="171" t="s">
        <v>106</v>
      </c>
      <c r="K16" s="171" t="s">
        <v>107</v>
      </c>
      <c r="L16" s="171" t="s">
        <v>108</v>
      </c>
      <c r="M16" s="171" t="s">
        <v>109</v>
      </c>
      <c r="N16" s="171" t="s">
        <v>110</v>
      </c>
      <c r="O16" s="171" t="s">
        <v>111</v>
      </c>
      <c r="P16" s="171" t="s">
        <v>112</v>
      </c>
      <c r="Q16" s="171" t="s">
        <v>113</v>
      </c>
      <c r="R16" s="171" t="s">
        <v>114</v>
      </c>
      <c r="S16" s="171" t="s">
        <v>115</v>
      </c>
      <c r="T16" s="171" t="s">
        <v>116</v>
      </c>
      <c r="U16" s="171" t="s">
        <v>117</v>
      </c>
      <c r="V16" s="171" t="s">
        <v>118</v>
      </c>
      <c r="W16" s="171" t="s">
        <v>119</v>
      </c>
      <c r="X16" s="171" t="s">
        <v>120</v>
      </c>
      <c r="Y16" s="171" t="s">
        <v>121</v>
      </c>
      <c r="Z16" s="171" t="s">
        <v>122</v>
      </c>
      <c r="AA16" s="171" t="s">
        <v>123</v>
      </c>
      <c r="AB16" s="171" t="s">
        <v>124</v>
      </c>
      <c r="AC16" s="171" t="s">
        <v>125</v>
      </c>
      <c r="AD16" s="171" t="s">
        <v>126</v>
      </c>
      <c r="AE16" s="171" t="s">
        <v>127</v>
      </c>
      <c r="AF16" s="171" t="s">
        <v>153</v>
      </c>
    </row>
    <row r="17" spans="2:32" x14ac:dyDescent="0.2">
      <c r="B17" s="172">
        <v>1</v>
      </c>
      <c r="C17" s="13" t="s">
        <v>96</v>
      </c>
      <c r="D17" s="164"/>
      <c r="E17" s="173" t="s">
        <v>35</v>
      </c>
      <c r="F17" s="21">
        <v>180939776.82287064</v>
      </c>
      <c r="G17" s="20">
        <v>0</v>
      </c>
      <c r="H17" s="20">
        <v>-15535.492125494913</v>
      </c>
      <c r="I17" s="20">
        <v>-20911.465996755156</v>
      </c>
      <c r="J17" s="20">
        <v>-625376.58204908855</v>
      </c>
      <c r="K17" s="20">
        <v>-33330413.349103969</v>
      </c>
      <c r="L17" s="20">
        <v>10410037.582851149</v>
      </c>
      <c r="M17" s="20">
        <v>415034301.58413804</v>
      </c>
      <c r="N17" s="20">
        <v>-128913410.12010348</v>
      </c>
      <c r="O17" s="20">
        <v>-55896430.192302287</v>
      </c>
      <c r="P17" s="20">
        <v>-25821851.078716896</v>
      </c>
      <c r="Q17" s="20">
        <v>203439270.94640204</v>
      </c>
      <c r="R17" s="20">
        <v>51257403.601495489</v>
      </c>
      <c r="S17" s="20">
        <v>48543671.879775092</v>
      </c>
      <c r="T17" s="20">
        <v>-17666497.406280242</v>
      </c>
      <c r="U17" s="20">
        <v>-231935913.00123587</v>
      </c>
      <c r="V17" s="20">
        <v>139601366.23889115</v>
      </c>
      <c r="W17" s="20">
        <v>18848654.962625537</v>
      </c>
      <c r="X17" s="20">
        <v>-148357910.7918165</v>
      </c>
      <c r="Y17" s="20">
        <v>-42713761.739478476</v>
      </c>
      <c r="Z17" s="20">
        <v>20201667.305305995</v>
      </c>
      <c r="AA17" s="20">
        <v>30413585.429476894</v>
      </c>
      <c r="AB17" s="20">
        <v>-12700402.332599495</v>
      </c>
      <c r="AC17" s="20">
        <v>-19142352.211799175</v>
      </c>
      <c r="AD17" s="20">
        <v>-6888391.1047685556</v>
      </c>
      <c r="AE17" s="20">
        <v>7699166.0115989856</v>
      </c>
      <c r="AF17" s="20">
        <v>-12962516.052840482</v>
      </c>
    </row>
    <row r="18" spans="2:32" x14ac:dyDescent="0.2">
      <c r="B18" s="172">
        <v>2</v>
      </c>
      <c r="C18" s="13" t="s">
        <v>97</v>
      </c>
      <c r="D18" s="164"/>
      <c r="E18" s="173" t="s">
        <v>35</v>
      </c>
      <c r="F18" s="21">
        <v>180939776.82287064</v>
      </c>
      <c r="G18" s="20">
        <v>0</v>
      </c>
      <c r="H18" s="20">
        <v>-15535.492125494913</v>
      </c>
      <c r="I18" s="20">
        <v>-20911.465996755156</v>
      </c>
      <c r="J18" s="20">
        <v>-625376.58204908855</v>
      </c>
      <c r="K18" s="20">
        <v>-33330413.349103969</v>
      </c>
      <c r="L18" s="20">
        <v>10410037.582851149</v>
      </c>
      <c r="M18" s="20">
        <v>415034301.58413804</v>
      </c>
      <c r="N18" s="20">
        <v>-128913410.12010348</v>
      </c>
      <c r="O18" s="20">
        <v>-55896430.192302287</v>
      </c>
      <c r="P18" s="20">
        <v>-25821851.078716896</v>
      </c>
      <c r="Q18" s="20">
        <v>203439270.94640204</v>
      </c>
      <c r="R18" s="20">
        <v>51257403.601495489</v>
      </c>
      <c r="S18" s="20">
        <v>48543671.879775092</v>
      </c>
      <c r="T18" s="20">
        <v>-17666497.406280242</v>
      </c>
      <c r="U18" s="20">
        <v>-231935913.00123587</v>
      </c>
      <c r="V18" s="20">
        <v>139601366.23889115</v>
      </c>
      <c r="W18" s="20">
        <v>18848654.962625537</v>
      </c>
      <c r="X18" s="20">
        <v>-148357910.7918165</v>
      </c>
      <c r="Y18" s="20">
        <v>-42713761.739478476</v>
      </c>
      <c r="Z18" s="20">
        <v>20201667.305305995</v>
      </c>
      <c r="AA18" s="20">
        <v>30413585.429476894</v>
      </c>
      <c r="AB18" s="20">
        <v>-12700402.332599495</v>
      </c>
      <c r="AC18" s="20">
        <v>-19142352.211799175</v>
      </c>
      <c r="AD18" s="20">
        <v>-6888391.1047685556</v>
      </c>
      <c r="AE18" s="20">
        <v>7699166.0115989856</v>
      </c>
      <c r="AF18" s="20">
        <v>-12962516.052840482</v>
      </c>
    </row>
    <row r="19" spans="2:32" x14ac:dyDescent="0.2">
      <c r="B19" s="172">
        <v>3</v>
      </c>
      <c r="C19" s="13" t="s">
        <v>98</v>
      </c>
      <c r="D19" s="164"/>
      <c r="E19" s="173" t="s">
        <v>35</v>
      </c>
      <c r="F19" s="21">
        <v>195621247.41296566</v>
      </c>
      <c r="G19" s="20">
        <v>0</v>
      </c>
      <c r="H19" s="20">
        <v>-9255.0156594897162</v>
      </c>
      <c r="I19" s="20">
        <v>7759.1667963889286</v>
      </c>
      <c r="J19" s="20">
        <v>-782791.36335600726</v>
      </c>
      <c r="K19" s="20">
        <v>-36455576.798047721</v>
      </c>
      <c r="L19" s="20">
        <v>11330276.366178392</v>
      </c>
      <c r="M19" s="20">
        <v>425545915.14860892</v>
      </c>
      <c r="N19" s="20">
        <v>-127853258.64841017</v>
      </c>
      <c r="O19" s="20">
        <v>-53433773.52744706</v>
      </c>
      <c r="P19" s="20">
        <v>-20476966.899272047</v>
      </c>
      <c r="Q19" s="20">
        <v>205278266.01427418</v>
      </c>
      <c r="R19" s="20">
        <v>47209114.090205923</v>
      </c>
      <c r="S19" s="20">
        <v>57895177.662589051</v>
      </c>
      <c r="T19" s="20">
        <v>-16030120.28086267</v>
      </c>
      <c r="U19" s="20">
        <v>-239420356.01113206</v>
      </c>
      <c r="V19" s="20">
        <v>141420782.12387943</v>
      </c>
      <c r="W19" s="20">
        <v>18599274.277385566</v>
      </c>
      <c r="X19" s="20">
        <v>-144568655.02540031</v>
      </c>
      <c r="Y19" s="20">
        <v>-43422698.253453381</v>
      </c>
      <c r="Z19" s="20">
        <v>21705849.202362102</v>
      </c>
      <c r="AA19" s="20">
        <v>27872709.661918364</v>
      </c>
      <c r="AB19" s="20">
        <v>-8441201.2730955407</v>
      </c>
      <c r="AC19" s="20">
        <v>-20916462.713216543</v>
      </c>
      <c r="AD19" s="20">
        <v>-3903570.6585948505</v>
      </c>
      <c r="AE19" s="20">
        <v>8621298.4505725261</v>
      </c>
      <c r="AF19" s="20">
        <v>-12227246.694737278</v>
      </c>
    </row>
    <row r="20" spans="2:32" x14ac:dyDescent="0.2">
      <c r="B20" s="172">
        <v>4</v>
      </c>
      <c r="C20" s="13" t="s">
        <v>99</v>
      </c>
      <c r="D20" s="164"/>
      <c r="E20" s="173" t="s">
        <v>35</v>
      </c>
      <c r="F20" s="21">
        <v>38636524.433874726</v>
      </c>
      <c r="G20" s="20">
        <v>0</v>
      </c>
      <c r="H20" s="20">
        <v>23544.318260180728</v>
      </c>
      <c r="I20" s="20">
        <v>6875.4459166181259</v>
      </c>
      <c r="J20" s="20">
        <v>10755222.848871883</v>
      </c>
      <c r="K20" s="20">
        <v>162296.75011933106</v>
      </c>
      <c r="L20" s="20">
        <v>1725837.0351810267</v>
      </c>
      <c r="M20" s="20">
        <v>54446546.943423375</v>
      </c>
      <c r="N20" s="20">
        <v>-53195040.076906562</v>
      </c>
      <c r="O20" s="20">
        <v>1620875.7633617688</v>
      </c>
      <c r="P20" s="20">
        <v>47555121.14525526</v>
      </c>
      <c r="Q20" s="20">
        <v>39762168.755815431</v>
      </c>
      <c r="R20" s="20">
        <v>3020137.6253092629</v>
      </c>
      <c r="S20" s="20">
        <v>-53467216.815830417</v>
      </c>
      <c r="T20" s="20">
        <v>13965713.511505701</v>
      </c>
      <c r="U20" s="20">
        <v>6346660.3583202017</v>
      </c>
      <c r="V20" s="20">
        <v>-4493453.3777178638</v>
      </c>
      <c r="W20" s="20">
        <v>10712050.119271979</v>
      </c>
      <c r="X20" s="20">
        <v>-22442698.966096263</v>
      </c>
      <c r="Y20" s="20">
        <v>-10461212.41042381</v>
      </c>
      <c r="Z20" s="20">
        <v>-861698.2905168694</v>
      </c>
      <c r="AA20" s="20">
        <v>22150021.79327618</v>
      </c>
      <c r="AB20" s="20">
        <v>-9988535.1914857589</v>
      </c>
      <c r="AC20" s="20">
        <v>-1322041.9311093614</v>
      </c>
      <c r="AD20" s="20">
        <v>-6709694.2955739433</v>
      </c>
      <c r="AE20" s="20">
        <v>-2034287.1395424795</v>
      </c>
      <c r="AF20" s="20">
        <v>572177.87838941731</v>
      </c>
    </row>
    <row r="21" spans="2:32" x14ac:dyDescent="0.2">
      <c r="B21" s="172">
        <v>5</v>
      </c>
      <c r="C21" s="13" t="s">
        <v>100</v>
      </c>
      <c r="D21" s="164"/>
      <c r="E21" s="173" t="s">
        <v>35</v>
      </c>
      <c r="F21" s="21"/>
      <c r="G21" s="265" t="s">
        <v>240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2:32" x14ac:dyDescent="0.2">
      <c r="B22" s="172">
        <v>6</v>
      </c>
      <c r="C22" s="13" t="s">
        <v>174</v>
      </c>
      <c r="D22" s="164"/>
      <c r="E22" s="173" t="s">
        <v>35</v>
      </c>
      <c r="F22" s="21"/>
      <c r="G22" s="265" t="s">
        <v>240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2:32" x14ac:dyDescent="0.2">
      <c r="B23" s="161"/>
      <c r="C23" s="165"/>
      <c r="D23" s="165"/>
      <c r="E23" s="161"/>
      <c r="F23" s="161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</row>
    <row r="24" spans="2:32" ht="15.75" x14ac:dyDescent="0.25">
      <c r="B24" s="166" t="s">
        <v>77</v>
      </c>
      <c r="C24" s="167"/>
      <c r="D24" s="167"/>
      <c r="E24" s="10"/>
      <c r="F24" s="1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2:32" ht="15.75" x14ac:dyDescent="0.25">
      <c r="B25" s="168" t="s">
        <v>14</v>
      </c>
      <c r="C25" s="169" t="s">
        <v>13</v>
      </c>
      <c r="D25" s="169"/>
      <c r="E25" s="170" t="s">
        <v>22</v>
      </c>
      <c r="F25" s="170" t="s">
        <v>37</v>
      </c>
      <c r="G25" s="171" t="s">
        <v>103</v>
      </c>
      <c r="H25" s="171" t="s">
        <v>104</v>
      </c>
      <c r="I25" s="171" t="s">
        <v>105</v>
      </c>
      <c r="J25" s="171" t="s">
        <v>106</v>
      </c>
      <c r="K25" s="171" t="s">
        <v>107</v>
      </c>
      <c r="L25" s="171" t="s">
        <v>108</v>
      </c>
      <c r="M25" s="171" t="s">
        <v>109</v>
      </c>
      <c r="N25" s="171" t="s">
        <v>110</v>
      </c>
      <c r="O25" s="171" t="s">
        <v>111</v>
      </c>
      <c r="P25" s="171" t="s">
        <v>112</v>
      </c>
      <c r="Q25" s="171" t="s">
        <v>113</v>
      </c>
      <c r="R25" s="171" t="s">
        <v>114</v>
      </c>
      <c r="S25" s="171" t="s">
        <v>115</v>
      </c>
      <c r="T25" s="171" t="s">
        <v>116</v>
      </c>
      <c r="U25" s="171" t="s">
        <v>117</v>
      </c>
      <c r="V25" s="171" t="s">
        <v>118</v>
      </c>
      <c r="W25" s="171" t="s">
        <v>119</v>
      </c>
      <c r="X25" s="171" t="s">
        <v>120</v>
      </c>
      <c r="Y25" s="171" t="s">
        <v>121</v>
      </c>
      <c r="Z25" s="171" t="s">
        <v>122</v>
      </c>
      <c r="AA25" s="171" t="s">
        <v>123</v>
      </c>
      <c r="AB25" s="171" t="s">
        <v>124</v>
      </c>
      <c r="AC25" s="171" t="s">
        <v>125</v>
      </c>
      <c r="AD25" s="171" t="s">
        <v>126</v>
      </c>
      <c r="AE25" s="171" t="s">
        <v>127</v>
      </c>
      <c r="AF25" s="171" t="s">
        <v>153</v>
      </c>
    </row>
    <row r="26" spans="2:32" x14ac:dyDescent="0.2">
      <c r="B26" s="172">
        <v>1</v>
      </c>
      <c r="C26" s="13" t="s">
        <v>96</v>
      </c>
      <c r="D26" s="164"/>
      <c r="E26" s="173" t="s">
        <v>35</v>
      </c>
      <c r="F26" s="21">
        <v>-167203133.55098665</v>
      </c>
      <c r="G26" s="20">
        <v>0</v>
      </c>
      <c r="H26" s="20">
        <v>-52750000</v>
      </c>
      <c r="I26" s="20">
        <v>-52750000</v>
      </c>
      <c r="J26" s="20">
        <v>-52750000</v>
      </c>
      <c r="K26" s="20">
        <v>-54860000</v>
      </c>
      <c r="L26" s="20">
        <v>-2110000</v>
      </c>
      <c r="M26" s="20">
        <v>-2110000</v>
      </c>
      <c r="N26" s="20">
        <v>-2110000</v>
      </c>
      <c r="O26" s="20">
        <v>-2110000</v>
      </c>
      <c r="P26" s="20">
        <v>-2110000</v>
      </c>
      <c r="Q26" s="20">
        <v>-2110000</v>
      </c>
      <c r="R26" s="20">
        <v>-2110000</v>
      </c>
      <c r="S26" s="20">
        <v>-2110000</v>
      </c>
      <c r="T26" s="20">
        <v>-2110000</v>
      </c>
      <c r="U26" s="20">
        <v>-2110000</v>
      </c>
      <c r="V26" s="20">
        <v>-2110000</v>
      </c>
      <c r="W26" s="20">
        <v>-2110000</v>
      </c>
      <c r="X26" s="20">
        <v>-2110000</v>
      </c>
      <c r="Y26" s="20">
        <v>-2110000</v>
      </c>
      <c r="Z26" s="20">
        <v>-2110000</v>
      </c>
      <c r="AA26" s="20">
        <v>-2110000</v>
      </c>
      <c r="AB26" s="20">
        <v>-2110000</v>
      </c>
      <c r="AC26" s="20">
        <v>-2110000</v>
      </c>
      <c r="AD26" s="20">
        <v>-2110000</v>
      </c>
      <c r="AE26" s="20">
        <v>-2110000</v>
      </c>
      <c r="AF26" s="20">
        <v>114070000</v>
      </c>
    </row>
    <row r="27" spans="2:32" x14ac:dyDescent="0.2">
      <c r="B27" s="172">
        <v>2</v>
      </c>
      <c r="C27" s="13" t="s">
        <v>97</v>
      </c>
      <c r="D27" s="164"/>
      <c r="E27" s="173" t="s">
        <v>35</v>
      </c>
      <c r="F27" s="21">
        <v>-239986728.60139909</v>
      </c>
      <c r="G27" s="20">
        <v>0</v>
      </c>
      <c r="H27" s="20">
        <v>-75750000</v>
      </c>
      <c r="I27" s="20">
        <v>-75750000</v>
      </c>
      <c r="J27" s="20">
        <v>-75750000</v>
      </c>
      <c r="K27" s="20">
        <v>-78780000</v>
      </c>
      <c r="L27" s="20">
        <v>-3030000</v>
      </c>
      <c r="M27" s="20">
        <v>-3030000</v>
      </c>
      <c r="N27" s="20">
        <v>-3030000</v>
      </c>
      <c r="O27" s="20">
        <v>-3030000</v>
      </c>
      <c r="P27" s="20">
        <v>-3030000</v>
      </c>
      <c r="Q27" s="20">
        <v>-3030000</v>
      </c>
      <c r="R27" s="20">
        <v>-3030000</v>
      </c>
      <c r="S27" s="20">
        <v>-3030000</v>
      </c>
      <c r="T27" s="20">
        <v>-3030000</v>
      </c>
      <c r="U27" s="20">
        <v>-3030000</v>
      </c>
      <c r="V27" s="20">
        <v>-3030000</v>
      </c>
      <c r="W27" s="20">
        <v>-3030000</v>
      </c>
      <c r="X27" s="20">
        <v>-3030000</v>
      </c>
      <c r="Y27" s="20">
        <v>-3030000</v>
      </c>
      <c r="Z27" s="20">
        <v>-3030000</v>
      </c>
      <c r="AA27" s="20">
        <v>-3030000</v>
      </c>
      <c r="AB27" s="20">
        <v>-3030000</v>
      </c>
      <c r="AC27" s="20">
        <v>-3030000</v>
      </c>
      <c r="AD27" s="20">
        <v>-3030000</v>
      </c>
      <c r="AE27" s="20">
        <v>-3030000</v>
      </c>
      <c r="AF27" s="20">
        <v>164340000</v>
      </c>
    </row>
    <row r="28" spans="2:32" x14ac:dyDescent="0.2">
      <c r="B28" s="172">
        <v>3</v>
      </c>
      <c r="C28" s="13" t="s">
        <v>98</v>
      </c>
      <c r="D28" s="164"/>
      <c r="E28" s="173" t="s">
        <v>35</v>
      </c>
      <c r="F28" s="21">
        <v>-311164907.86338294</v>
      </c>
      <c r="G28" s="20">
        <v>0</v>
      </c>
      <c r="H28" s="20">
        <v>-98250000</v>
      </c>
      <c r="I28" s="20">
        <v>-98250000</v>
      </c>
      <c r="J28" s="20">
        <v>-98250000</v>
      </c>
      <c r="K28" s="20">
        <v>-102180000</v>
      </c>
      <c r="L28" s="20">
        <v>-3930000</v>
      </c>
      <c r="M28" s="20">
        <v>-3930000</v>
      </c>
      <c r="N28" s="20">
        <v>-3930000</v>
      </c>
      <c r="O28" s="20">
        <v>-3930000</v>
      </c>
      <c r="P28" s="20">
        <v>-3930000</v>
      </c>
      <c r="Q28" s="20">
        <v>-3930000</v>
      </c>
      <c r="R28" s="20">
        <v>-3930000</v>
      </c>
      <c r="S28" s="20">
        <v>-3930000</v>
      </c>
      <c r="T28" s="20">
        <v>-3930000</v>
      </c>
      <c r="U28" s="20">
        <v>-3930000</v>
      </c>
      <c r="V28" s="20">
        <v>-3930000</v>
      </c>
      <c r="W28" s="20">
        <v>-3930000</v>
      </c>
      <c r="X28" s="20">
        <v>-3930000</v>
      </c>
      <c r="Y28" s="20">
        <v>-3930000</v>
      </c>
      <c r="Z28" s="20">
        <v>-3930000</v>
      </c>
      <c r="AA28" s="20">
        <v>-3930000</v>
      </c>
      <c r="AB28" s="20">
        <v>-3930000</v>
      </c>
      <c r="AC28" s="20">
        <v>-3930000</v>
      </c>
      <c r="AD28" s="20">
        <v>-3930000</v>
      </c>
      <c r="AE28" s="20">
        <v>-3930000</v>
      </c>
      <c r="AF28" s="20">
        <v>213620000</v>
      </c>
    </row>
    <row r="29" spans="2:32" x14ac:dyDescent="0.2">
      <c r="B29" s="172">
        <v>4</v>
      </c>
      <c r="C29" s="13" t="s">
        <v>99</v>
      </c>
      <c r="D29" s="164"/>
      <c r="E29" s="173" t="s">
        <v>35</v>
      </c>
      <c r="F29" s="21">
        <v>-42585643.701457031</v>
      </c>
      <c r="G29" s="20">
        <v>0</v>
      </c>
      <c r="H29" s="20">
        <v>-16666666.666666666</v>
      </c>
      <c r="I29" s="20">
        <v>-16666666.666666666</v>
      </c>
      <c r="J29" s="20">
        <v>-17166666.666666664</v>
      </c>
      <c r="K29" s="20">
        <v>-500000</v>
      </c>
      <c r="L29" s="20">
        <v>-500000</v>
      </c>
      <c r="M29" s="20">
        <v>-500000</v>
      </c>
      <c r="N29" s="20">
        <v>-500000</v>
      </c>
      <c r="O29" s="20">
        <v>-500000</v>
      </c>
      <c r="P29" s="20">
        <v>-500000</v>
      </c>
      <c r="Q29" s="20">
        <v>-500000</v>
      </c>
      <c r="R29" s="20">
        <v>-500000</v>
      </c>
      <c r="S29" s="20">
        <v>-500000</v>
      </c>
      <c r="T29" s="20">
        <v>-500000</v>
      </c>
      <c r="U29" s="20">
        <v>-500000</v>
      </c>
      <c r="V29" s="20">
        <v>-500000</v>
      </c>
      <c r="W29" s="20">
        <v>-500000</v>
      </c>
      <c r="X29" s="20">
        <v>-500000</v>
      </c>
      <c r="Y29" s="20">
        <v>-500000</v>
      </c>
      <c r="Z29" s="20">
        <v>-500000</v>
      </c>
      <c r="AA29" s="20">
        <v>-500000</v>
      </c>
      <c r="AB29" s="20">
        <v>-500000</v>
      </c>
      <c r="AC29" s="20">
        <v>-500000</v>
      </c>
      <c r="AD29" s="20">
        <v>-500000</v>
      </c>
      <c r="AE29" s="20">
        <v>-500000</v>
      </c>
      <c r="AF29" s="20">
        <v>20750000</v>
      </c>
    </row>
    <row r="30" spans="2:32" x14ac:dyDescent="0.2">
      <c r="B30" s="172">
        <v>5</v>
      </c>
      <c r="C30" s="13" t="s">
        <v>100</v>
      </c>
      <c r="D30" s="164"/>
      <c r="E30" s="173" t="s">
        <v>35</v>
      </c>
      <c r="F30" s="21"/>
      <c r="G30" s="265" t="s">
        <v>240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2:32" x14ac:dyDescent="0.2">
      <c r="B31" s="172">
        <v>6</v>
      </c>
      <c r="C31" s="13" t="s">
        <v>174</v>
      </c>
      <c r="D31" s="164"/>
      <c r="E31" s="173" t="s">
        <v>35</v>
      </c>
      <c r="F31" s="21"/>
      <c r="G31" s="265" t="s">
        <v>240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  <row r="32" spans="2:32" x14ac:dyDescent="0.2">
      <c r="B32" s="161"/>
      <c r="C32" s="165"/>
      <c r="D32" s="165"/>
      <c r="E32" s="161"/>
      <c r="F32" s="161"/>
    </row>
    <row r="33" spans="1:32" ht="21" x14ac:dyDescent="0.35">
      <c r="B33" s="162" t="s">
        <v>50</v>
      </c>
      <c r="C33" s="163"/>
      <c r="D33" s="163"/>
      <c r="E33" s="162"/>
      <c r="F33" s="130"/>
      <c r="G33" s="130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</row>
    <row r="34" spans="1:32" x14ac:dyDescent="0.2">
      <c r="B34" s="161"/>
      <c r="C34" s="165"/>
      <c r="D34" s="165"/>
      <c r="E34" s="161"/>
      <c r="F34" s="161"/>
    </row>
    <row r="35" spans="1:32" ht="15.75" x14ac:dyDescent="0.25">
      <c r="B35" s="58" t="s">
        <v>90</v>
      </c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</row>
    <row r="36" spans="1:32" x14ac:dyDescent="0.2">
      <c r="B36" s="164" t="s">
        <v>94</v>
      </c>
      <c r="C36" s="164"/>
      <c r="D36" s="164"/>
      <c r="E36" s="164"/>
      <c r="F36" s="164"/>
      <c r="G36" s="142">
        <v>1</v>
      </c>
      <c r="H36" s="142">
        <v>2</v>
      </c>
      <c r="I36" s="142">
        <v>3</v>
      </c>
      <c r="J36" s="142">
        <v>4</v>
      </c>
      <c r="K36" s="142">
        <v>5</v>
      </c>
      <c r="L36" s="142">
        <v>6</v>
      </c>
      <c r="M36" s="142">
        <v>7</v>
      </c>
      <c r="N36" s="142">
        <v>8</v>
      </c>
      <c r="O36" s="142">
        <v>9</v>
      </c>
      <c r="P36" s="142">
        <v>10</v>
      </c>
      <c r="Q36" s="142">
        <v>11</v>
      </c>
      <c r="R36" s="142">
        <v>12</v>
      </c>
      <c r="S36" s="142">
        <v>13</v>
      </c>
      <c r="T36" s="142">
        <v>14</v>
      </c>
      <c r="U36" s="142">
        <v>15</v>
      </c>
      <c r="V36" s="142">
        <v>16</v>
      </c>
      <c r="W36" s="142">
        <v>17</v>
      </c>
      <c r="X36" s="142">
        <v>18</v>
      </c>
      <c r="Y36" s="142">
        <v>19</v>
      </c>
      <c r="Z36" s="142">
        <v>20</v>
      </c>
      <c r="AA36" s="142">
        <v>21</v>
      </c>
      <c r="AB36" s="142">
        <v>22</v>
      </c>
      <c r="AC36" s="142">
        <v>23</v>
      </c>
      <c r="AD36" s="142">
        <v>24</v>
      </c>
      <c r="AE36" s="142">
        <v>25</v>
      </c>
      <c r="AF36" s="142">
        <v>26</v>
      </c>
    </row>
    <row r="37" spans="1:32" x14ac:dyDescent="0.2">
      <c r="B37" s="164" t="s">
        <v>92</v>
      </c>
      <c r="C37" s="164"/>
      <c r="D37" s="164"/>
      <c r="E37" s="164"/>
      <c r="F37" s="164"/>
      <c r="G37" s="142" t="s">
        <v>103</v>
      </c>
      <c r="H37" s="142" t="s">
        <v>104</v>
      </c>
      <c r="I37" s="142" t="s">
        <v>105</v>
      </c>
      <c r="J37" s="142" t="s">
        <v>106</v>
      </c>
      <c r="K37" s="142" t="s">
        <v>107</v>
      </c>
      <c r="L37" s="142" t="s">
        <v>108</v>
      </c>
      <c r="M37" s="142" t="s">
        <v>109</v>
      </c>
      <c r="N37" s="142" t="s">
        <v>110</v>
      </c>
      <c r="O37" s="142" t="s">
        <v>111</v>
      </c>
      <c r="P37" s="142" t="s">
        <v>112</v>
      </c>
      <c r="Q37" s="142" t="s">
        <v>113</v>
      </c>
      <c r="R37" s="142" t="s">
        <v>114</v>
      </c>
      <c r="S37" s="142" t="s">
        <v>115</v>
      </c>
      <c r="T37" s="142" t="s">
        <v>116</v>
      </c>
      <c r="U37" s="142" t="s">
        <v>117</v>
      </c>
      <c r="V37" s="142" t="s">
        <v>118</v>
      </c>
      <c r="W37" s="142" t="s">
        <v>119</v>
      </c>
      <c r="X37" s="142" t="s">
        <v>120</v>
      </c>
      <c r="Y37" s="142" t="s">
        <v>121</v>
      </c>
      <c r="Z37" s="142" t="s">
        <v>122</v>
      </c>
      <c r="AA37" s="142" t="s">
        <v>123</v>
      </c>
      <c r="AB37" s="142" t="s">
        <v>124</v>
      </c>
      <c r="AC37" s="142" t="s">
        <v>125</v>
      </c>
      <c r="AD37" s="142" t="s">
        <v>126</v>
      </c>
      <c r="AE37" s="142" t="s">
        <v>127</v>
      </c>
      <c r="AF37" s="142" t="s">
        <v>153</v>
      </c>
    </row>
    <row r="38" spans="1:32" x14ac:dyDescent="0.2">
      <c r="B38" s="164" t="s">
        <v>91</v>
      </c>
      <c r="C38" s="164"/>
      <c r="D38" s="164"/>
      <c r="E38" s="164"/>
      <c r="F38" s="164"/>
      <c r="G38" s="142" t="s">
        <v>210</v>
      </c>
      <c r="H38" s="142" t="s">
        <v>211</v>
      </c>
      <c r="I38" s="142" t="s">
        <v>212</v>
      </c>
      <c r="J38" s="142" t="s">
        <v>213</v>
      </c>
      <c r="K38" s="142" t="s">
        <v>214</v>
      </c>
      <c r="L38" s="142" t="s">
        <v>215</v>
      </c>
      <c r="M38" s="142" t="s">
        <v>216</v>
      </c>
      <c r="N38" s="142" t="s">
        <v>217</v>
      </c>
      <c r="O38" s="142" t="s">
        <v>218</v>
      </c>
      <c r="P38" s="142" t="s">
        <v>219</v>
      </c>
      <c r="Q38" s="142" t="s">
        <v>220</v>
      </c>
      <c r="R38" s="142" t="s">
        <v>221</v>
      </c>
      <c r="S38" s="142" t="s">
        <v>222</v>
      </c>
      <c r="T38" s="142" t="s">
        <v>223</v>
      </c>
      <c r="U38" s="142" t="s">
        <v>224</v>
      </c>
      <c r="V38" s="142" t="s">
        <v>225</v>
      </c>
      <c r="W38" s="142" t="s">
        <v>226</v>
      </c>
      <c r="X38" s="142" t="s">
        <v>227</v>
      </c>
      <c r="Y38" s="142" t="s">
        <v>228</v>
      </c>
      <c r="Z38" s="142" t="s">
        <v>229</v>
      </c>
      <c r="AA38" s="142" t="s">
        <v>230</v>
      </c>
      <c r="AB38" s="142" t="s">
        <v>231</v>
      </c>
      <c r="AC38" s="142" t="s">
        <v>232</v>
      </c>
      <c r="AD38" s="142" t="s">
        <v>233</v>
      </c>
      <c r="AE38" s="142" t="s">
        <v>234</v>
      </c>
      <c r="AF38" s="142" t="s">
        <v>235</v>
      </c>
    </row>
    <row r="39" spans="1:32" x14ac:dyDescent="0.2">
      <c r="B39" s="164" t="s">
        <v>89</v>
      </c>
      <c r="C39" s="164"/>
      <c r="D39" s="164"/>
      <c r="E39" s="164"/>
      <c r="F39" s="164"/>
      <c r="G39" s="142">
        <v>2021</v>
      </c>
      <c r="H39" s="142">
        <v>2022</v>
      </c>
      <c r="I39" s="142">
        <v>2023</v>
      </c>
      <c r="J39" s="142">
        <v>2024</v>
      </c>
      <c r="K39" s="142">
        <v>2025</v>
      </c>
      <c r="L39" s="142">
        <v>2026</v>
      </c>
      <c r="M39" s="142">
        <v>2027</v>
      </c>
      <c r="N39" s="142">
        <v>2028</v>
      </c>
      <c r="O39" s="142">
        <v>2029</v>
      </c>
      <c r="P39" s="142">
        <v>2030</v>
      </c>
      <c r="Q39" s="142">
        <v>2031</v>
      </c>
      <c r="R39" s="142">
        <v>2032</v>
      </c>
      <c r="S39" s="142">
        <v>2033</v>
      </c>
      <c r="T39" s="142">
        <v>2034</v>
      </c>
      <c r="U39" s="142">
        <v>2035</v>
      </c>
      <c r="V39" s="142">
        <v>2036</v>
      </c>
      <c r="W39" s="142">
        <v>2037</v>
      </c>
      <c r="X39" s="142">
        <v>2038</v>
      </c>
      <c r="Y39" s="142">
        <v>2039</v>
      </c>
      <c r="Z39" s="142">
        <v>2040</v>
      </c>
      <c r="AA39" s="142">
        <v>2041</v>
      </c>
      <c r="AB39" s="142">
        <v>2042</v>
      </c>
      <c r="AC39" s="142">
        <v>2043</v>
      </c>
      <c r="AD39" s="142">
        <v>2044</v>
      </c>
      <c r="AE39" s="142">
        <v>2045</v>
      </c>
      <c r="AF39" s="142">
        <v>2046</v>
      </c>
    </row>
    <row r="40" spans="1:32" x14ac:dyDescent="0.2">
      <c r="B40" s="161"/>
      <c r="C40" s="165"/>
      <c r="D40" s="165"/>
      <c r="E40" s="161"/>
      <c r="F40" s="161"/>
    </row>
    <row r="41" spans="1:32" ht="15.75" x14ac:dyDescent="0.25">
      <c r="B41" s="166" t="s">
        <v>17</v>
      </c>
      <c r="C41" s="167"/>
      <c r="D41" s="167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</row>
    <row r="42" spans="1:32" ht="15.75" x14ac:dyDescent="0.25">
      <c r="B42" s="168" t="s">
        <v>14</v>
      </c>
      <c r="C42" s="169" t="s">
        <v>13</v>
      </c>
      <c r="D42" s="169" t="s">
        <v>55</v>
      </c>
      <c r="E42" s="170" t="s">
        <v>22</v>
      </c>
      <c r="F42" s="170" t="s">
        <v>37</v>
      </c>
      <c r="G42" s="171" t="s">
        <v>103</v>
      </c>
      <c r="H42" s="171" t="s">
        <v>104</v>
      </c>
      <c r="I42" s="171" t="s">
        <v>105</v>
      </c>
      <c r="J42" s="171" t="s">
        <v>106</v>
      </c>
      <c r="K42" s="171" t="s">
        <v>107</v>
      </c>
      <c r="L42" s="171" t="s">
        <v>108</v>
      </c>
      <c r="M42" s="171" t="s">
        <v>109</v>
      </c>
      <c r="N42" s="171" t="s">
        <v>110</v>
      </c>
      <c r="O42" s="171" t="s">
        <v>111</v>
      </c>
      <c r="P42" s="171" t="s">
        <v>112</v>
      </c>
      <c r="Q42" s="171" t="s">
        <v>113</v>
      </c>
      <c r="R42" s="171" t="s">
        <v>114</v>
      </c>
      <c r="S42" s="171" t="s">
        <v>115</v>
      </c>
      <c r="T42" s="171" t="s">
        <v>116</v>
      </c>
      <c r="U42" s="171" t="s">
        <v>117</v>
      </c>
      <c r="V42" s="171" t="s">
        <v>118</v>
      </c>
      <c r="W42" s="171" t="s">
        <v>119</v>
      </c>
      <c r="X42" s="171" t="s">
        <v>120</v>
      </c>
      <c r="Y42" s="171" t="s">
        <v>121</v>
      </c>
      <c r="Z42" s="171" t="s">
        <v>122</v>
      </c>
      <c r="AA42" s="171" t="s">
        <v>123</v>
      </c>
      <c r="AB42" s="171" t="s">
        <v>124</v>
      </c>
      <c r="AC42" s="171" t="s">
        <v>125</v>
      </c>
      <c r="AD42" s="171" t="s">
        <v>126</v>
      </c>
      <c r="AE42" s="171" t="s">
        <v>127</v>
      </c>
      <c r="AF42" s="171" t="s">
        <v>153</v>
      </c>
    </row>
    <row r="43" spans="1:32" x14ac:dyDescent="0.2">
      <c r="A43" s="149"/>
      <c r="B43" s="22">
        <v>1</v>
      </c>
      <c r="C43" s="23" t="s">
        <v>96</v>
      </c>
      <c r="D43" s="23" t="s">
        <v>187</v>
      </c>
      <c r="E43" s="173" t="s">
        <v>35</v>
      </c>
      <c r="F43" s="17">
        <v>-133891535.07992029</v>
      </c>
      <c r="G43" s="16">
        <v>0</v>
      </c>
      <c r="H43" s="16">
        <v>-48250000</v>
      </c>
      <c r="I43" s="16">
        <v>-48250000</v>
      </c>
      <c r="J43" s="16">
        <v>-48250000</v>
      </c>
      <c r="K43" s="16">
        <v>-48250000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108080000</v>
      </c>
    </row>
    <row r="44" spans="1:32" x14ac:dyDescent="0.2">
      <c r="A44" s="126"/>
      <c r="B44" s="22">
        <v>1</v>
      </c>
      <c r="C44" s="23" t="s">
        <v>96</v>
      </c>
      <c r="D44" s="23" t="s">
        <v>188</v>
      </c>
      <c r="E44" s="173" t="s">
        <v>35</v>
      </c>
      <c r="F44" s="17">
        <v>-12933329.750669001</v>
      </c>
      <c r="G44" s="16">
        <v>0</v>
      </c>
      <c r="H44" s="16">
        <v>-4500000</v>
      </c>
      <c r="I44" s="16">
        <v>-4500000</v>
      </c>
      <c r="J44" s="16">
        <v>-4500000</v>
      </c>
      <c r="K44" s="16">
        <v>-4500000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8100000</v>
      </c>
    </row>
    <row r="45" spans="1:32" x14ac:dyDescent="0.2">
      <c r="A45" s="126"/>
      <c r="B45" s="22">
        <v>2</v>
      </c>
      <c r="C45" s="23" t="s">
        <v>97</v>
      </c>
      <c r="D45" s="23" t="s">
        <v>187</v>
      </c>
      <c r="E45" s="173" t="s">
        <v>35</v>
      </c>
      <c r="F45" s="17">
        <v>-195634263.69190425</v>
      </c>
      <c r="G45" s="16">
        <v>0</v>
      </c>
      <c r="H45" s="16">
        <v>-70500000</v>
      </c>
      <c r="I45" s="16">
        <v>-70500000</v>
      </c>
      <c r="J45" s="16">
        <v>-70500000</v>
      </c>
      <c r="K45" s="16">
        <v>-70500000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157920000</v>
      </c>
    </row>
    <row r="46" spans="1:32" x14ac:dyDescent="0.2">
      <c r="A46" s="126"/>
      <c r="B46" s="22">
        <v>2</v>
      </c>
      <c r="C46" s="23" t="s">
        <v>97</v>
      </c>
      <c r="D46" s="23" t="s">
        <v>188</v>
      </c>
      <c r="E46" s="173" t="s">
        <v>35</v>
      </c>
      <c r="F46" s="17">
        <v>-15088884.709113834</v>
      </c>
      <c r="G46" s="16">
        <v>0</v>
      </c>
      <c r="H46" s="16">
        <v>-5250000</v>
      </c>
      <c r="I46" s="16">
        <v>-5250000</v>
      </c>
      <c r="J46" s="16">
        <v>-5250000</v>
      </c>
      <c r="K46" s="16">
        <v>-5250000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9450000</v>
      </c>
    </row>
    <row r="47" spans="1:32" x14ac:dyDescent="0.2">
      <c r="A47" s="126"/>
      <c r="B47" s="22">
        <v>3</v>
      </c>
      <c r="C47" s="23" t="s">
        <v>98</v>
      </c>
      <c r="D47" s="23" t="s">
        <v>187</v>
      </c>
      <c r="E47" s="173" t="s">
        <v>35</v>
      </c>
      <c r="F47" s="17">
        <v>-256683253.78015798</v>
      </c>
      <c r="G47" s="16">
        <v>0</v>
      </c>
      <c r="H47" s="16">
        <v>-92500000</v>
      </c>
      <c r="I47" s="16">
        <v>-92500000</v>
      </c>
      <c r="J47" s="16">
        <v>-92500000</v>
      </c>
      <c r="K47" s="16">
        <v>-92500000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207200000</v>
      </c>
    </row>
    <row r="48" spans="1:32" x14ac:dyDescent="0.2">
      <c r="A48" s="126"/>
      <c r="B48" s="22">
        <v>3</v>
      </c>
      <c r="C48" s="23" t="s">
        <v>98</v>
      </c>
      <c r="D48" s="23" t="s">
        <v>188</v>
      </c>
      <c r="E48" s="173" t="s">
        <v>35</v>
      </c>
      <c r="F48" s="17">
        <v>-16525921.348077057</v>
      </c>
      <c r="G48" s="16">
        <v>0</v>
      </c>
      <c r="H48" s="16">
        <v>-5750000</v>
      </c>
      <c r="I48" s="16">
        <v>-5750000</v>
      </c>
      <c r="J48" s="16">
        <v>-5750000</v>
      </c>
      <c r="K48" s="16">
        <v>-5750000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10350000</v>
      </c>
    </row>
    <row r="49" spans="1:32" x14ac:dyDescent="0.2">
      <c r="A49" s="126"/>
      <c r="B49" s="22">
        <v>4</v>
      </c>
      <c r="C49" s="23" t="s">
        <v>99</v>
      </c>
      <c r="D49" s="23" t="s">
        <v>189</v>
      </c>
      <c r="E49" s="173" t="s">
        <v>35</v>
      </c>
      <c r="F49" s="17">
        <v>-37359125.191602096</v>
      </c>
      <c r="G49" s="16">
        <v>0</v>
      </c>
      <c r="H49" s="16">
        <v>-16666666.666666666</v>
      </c>
      <c r="I49" s="16">
        <v>-16666666.666666666</v>
      </c>
      <c r="J49" s="16">
        <v>-16666666.666666666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21250000</v>
      </c>
    </row>
    <row r="50" spans="1:32" x14ac:dyDescent="0.2">
      <c r="A50" s="126"/>
      <c r="B50" s="22">
        <v>5</v>
      </c>
      <c r="C50" s="23" t="s">
        <v>100</v>
      </c>
      <c r="D50" s="23" t="s">
        <v>187</v>
      </c>
      <c r="E50" s="173" t="s">
        <v>35</v>
      </c>
      <c r="F50" s="17">
        <v>-133891535.07992029</v>
      </c>
      <c r="G50" s="16">
        <v>0</v>
      </c>
      <c r="H50" s="16">
        <v>-48250000</v>
      </c>
      <c r="I50" s="16">
        <v>-48250000</v>
      </c>
      <c r="J50" s="16">
        <v>-48250000</v>
      </c>
      <c r="K50" s="16">
        <v>-48250000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108080000</v>
      </c>
    </row>
    <row r="51" spans="1:32" x14ac:dyDescent="0.2">
      <c r="A51" s="126"/>
      <c r="B51" s="22">
        <v>5</v>
      </c>
      <c r="C51" s="23" t="s">
        <v>100</v>
      </c>
      <c r="D51" s="183" t="s">
        <v>188</v>
      </c>
      <c r="E51" s="173" t="s">
        <v>35</v>
      </c>
      <c r="F51" s="17">
        <v>-12933329.750669001</v>
      </c>
      <c r="G51" s="16">
        <v>0</v>
      </c>
      <c r="H51" s="16">
        <v>-4500000</v>
      </c>
      <c r="I51" s="16">
        <v>-4500000</v>
      </c>
      <c r="J51" s="16">
        <v>-4500000</v>
      </c>
      <c r="K51" s="16">
        <v>-4500000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8100000</v>
      </c>
    </row>
    <row r="52" spans="1:32" x14ac:dyDescent="0.2">
      <c r="A52" s="126"/>
      <c r="B52" s="22">
        <v>5</v>
      </c>
      <c r="C52" s="23" t="s">
        <v>100</v>
      </c>
      <c r="D52" s="183"/>
      <c r="E52" s="173" t="s">
        <v>35</v>
      </c>
      <c r="F52" s="17"/>
      <c r="G52" s="243" t="s">
        <v>240</v>
      </c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5"/>
    </row>
    <row r="53" spans="1:32" x14ac:dyDescent="0.2">
      <c r="A53" s="126"/>
      <c r="B53" s="22">
        <v>6</v>
      </c>
      <c r="C53" s="23" t="s">
        <v>174</v>
      </c>
      <c r="D53" s="183"/>
      <c r="E53" s="173" t="s">
        <v>35</v>
      </c>
      <c r="F53" s="17"/>
      <c r="G53" s="246" t="s">
        <v>240</v>
      </c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17"/>
    </row>
    <row r="54" spans="1:32" x14ac:dyDescent="0.2">
      <c r="A54" s="126"/>
      <c r="B54" s="22">
        <v>6</v>
      </c>
      <c r="C54" s="23" t="s">
        <v>174</v>
      </c>
      <c r="D54" s="183"/>
      <c r="E54" s="173" t="s">
        <v>35</v>
      </c>
      <c r="F54" s="17"/>
      <c r="G54" s="248" t="s">
        <v>240</v>
      </c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50"/>
    </row>
    <row r="55" spans="1:32" x14ac:dyDescent="0.2">
      <c r="B55" s="161"/>
      <c r="C55" s="165"/>
      <c r="D55" s="165"/>
      <c r="E55" s="161"/>
      <c r="F55" s="161"/>
    </row>
    <row r="56" spans="1:32" ht="15.75" x14ac:dyDescent="0.25">
      <c r="B56" s="166" t="s">
        <v>101</v>
      </c>
      <c r="C56" s="167"/>
      <c r="D56" s="167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</row>
    <row r="57" spans="1:32" ht="15.75" x14ac:dyDescent="0.25">
      <c r="B57" s="168" t="s">
        <v>14</v>
      </c>
      <c r="C57" s="169" t="s">
        <v>13</v>
      </c>
      <c r="D57" s="169"/>
      <c r="E57" s="170" t="s">
        <v>22</v>
      </c>
      <c r="F57" s="170" t="s">
        <v>37</v>
      </c>
      <c r="G57" s="171" t="s">
        <v>103</v>
      </c>
      <c r="H57" s="171" t="s">
        <v>104</v>
      </c>
      <c r="I57" s="171" t="s">
        <v>105</v>
      </c>
      <c r="J57" s="171" t="s">
        <v>106</v>
      </c>
      <c r="K57" s="171" t="s">
        <v>107</v>
      </c>
      <c r="L57" s="171" t="s">
        <v>108</v>
      </c>
      <c r="M57" s="171" t="s">
        <v>109</v>
      </c>
      <c r="N57" s="171" t="s">
        <v>110</v>
      </c>
      <c r="O57" s="171" t="s">
        <v>111</v>
      </c>
      <c r="P57" s="171" t="s">
        <v>112</v>
      </c>
      <c r="Q57" s="171" t="s">
        <v>113</v>
      </c>
      <c r="R57" s="171" t="s">
        <v>114</v>
      </c>
      <c r="S57" s="171" t="s">
        <v>115</v>
      </c>
      <c r="T57" s="171" t="s">
        <v>116</v>
      </c>
      <c r="U57" s="171" t="s">
        <v>117</v>
      </c>
      <c r="V57" s="171" t="s">
        <v>118</v>
      </c>
      <c r="W57" s="171" t="s">
        <v>119</v>
      </c>
      <c r="X57" s="171" t="s">
        <v>120</v>
      </c>
      <c r="Y57" s="171" t="s">
        <v>121</v>
      </c>
      <c r="Z57" s="171" t="s">
        <v>122</v>
      </c>
      <c r="AA57" s="171" t="s">
        <v>123</v>
      </c>
      <c r="AB57" s="171" t="s">
        <v>124</v>
      </c>
      <c r="AC57" s="171" t="s">
        <v>125</v>
      </c>
      <c r="AD57" s="171" t="s">
        <v>126</v>
      </c>
      <c r="AE57" s="171" t="s">
        <v>127</v>
      </c>
      <c r="AF57" s="171" t="s">
        <v>153</v>
      </c>
    </row>
    <row r="58" spans="1:32" x14ac:dyDescent="0.2">
      <c r="A58" s="149"/>
      <c r="B58" s="172">
        <v>1</v>
      </c>
      <c r="C58" s="13" t="s">
        <v>96</v>
      </c>
      <c r="D58" s="164"/>
      <c r="E58" s="173" t="s">
        <v>35</v>
      </c>
      <c r="F58" s="17">
        <v>-146824864.83058929</v>
      </c>
      <c r="G58" s="16">
        <v>0</v>
      </c>
      <c r="H58" s="16">
        <v>-52750000</v>
      </c>
      <c r="I58" s="16">
        <v>-52750000</v>
      </c>
      <c r="J58" s="16">
        <v>-52750000</v>
      </c>
      <c r="K58" s="16">
        <v>-52750000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116180000</v>
      </c>
    </row>
    <row r="59" spans="1:32" x14ac:dyDescent="0.2">
      <c r="A59" s="149"/>
      <c r="B59" s="172">
        <v>2</v>
      </c>
      <c r="C59" s="13" t="s">
        <v>97</v>
      </c>
      <c r="D59" s="164"/>
      <c r="E59" s="173" t="s">
        <v>35</v>
      </c>
      <c r="F59" s="17">
        <v>-210723148.40101808</v>
      </c>
      <c r="G59" s="16">
        <v>0</v>
      </c>
      <c r="H59" s="16">
        <v>-75750000</v>
      </c>
      <c r="I59" s="16">
        <v>-75750000</v>
      </c>
      <c r="J59" s="16">
        <v>-75750000</v>
      </c>
      <c r="K59" s="16">
        <v>-75750000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167370000</v>
      </c>
    </row>
    <row r="60" spans="1:32" x14ac:dyDescent="0.2">
      <c r="A60" s="149"/>
      <c r="B60" s="172">
        <v>3</v>
      </c>
      <c r="C60" s="13" t="s">
        <v>98</v>
      </c>
      <c r="D60" s="164"/>
      <c r="E60" s="173" t="s">
        <v>35</v>
      </c>
      <c r="F60" s="17">
        <v>-273209175.12823516</v>
      </c>
      <c r="G60" s="16">
        <v>0</v>
      </c>
      <c r="H60" s="16">
        <v>-98250000</v>
      </c>
      <c r="I60" s="16">
        <v>-98250000</v>
      </c>
      <c r="J60" s="16">
        <v>-98250000</v>
      </c>
      <c r="K60" s="16">
        <v>-98250000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217550000</v>
      </c>
    </row>
    <row r="61" spans="1:32" x14ac:dyDescent="0.2">
      <c r="A61" s="149"/>
      <c r="B61" s="172">
        <v>4</v>
      </c>
      <c r="C61" s="13" t="s">
        <v>99</v>
      </c>
      <c r="D61" s="164"/>
      <c r="E61" s="173" t="s">
        <v>35</v>
      </c>
      <c r="F61" s="17">
        <v>-37359125.191602096</v>
      </c>
      <c r="G61" s="16">
        <v>0</v>
      </c>
      <c r="H61" s="16">
        <v>-16666666.666666666</v>
      </c>
      <c r="I61" s="16">
        <v>-16666666.666666666</v>
      </c>
      <c r="J61" s="16">
        <v>-16666666.666666666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21250000</v>
      </c>
    </row>
    <row r="62" spans="1:32" x14ac:dyDescent="0.2">
      <c r="A62" s="149"/>
      <c r="B62" s="172">
        <v>5</v>
      </c>
      <c r="C62" s="13" t="s">
        <v>100</v>
      </c>
      <c r="D62" s="164"/>
      <c r="E62" s="173" t="s">
        <v>35</v>
      </c>
      <c r="F62" s="17"/>
      <c r="G62" s="16" t="s">
        <v>240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x14ac:dyDescent="0.2">
      <c r="B63" s="172">
        <v>6</v>
      </c>
      <c r="C63" s="13" t="s">
        <v>174</v>
      </c>
      <c r="D63" s="164"/>
      <c r="E63" s="173" t="s">
        <v>35</v>
      </c>
      <c r="F63" s="17"/>
      <c r="G63" s="16" t="s">
        <v>240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x14ac:dyDescent="0.2">
      <c r="B64" s="161"/>
      <c r="C64" s="165"/>
      <c r="D64" s="165"/>
      <c r="E64" s="161"/>
      <c r="F64" s="126"/>
    </row>
    <row r="65" spans="1:32" ht="15.75" x14ac:dyDescent="0.25">
      <c r="B65" s="166" t="s">
        <v>203</v>
      </c>
      <c r="C65" s="167"/>
      <c r="D65" s="167"/>
      <c r="E65" s="10"/>
      <c r="F65" s="10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</row>
    <row r="66" spans="1:32" ht="15.75" x14ac:dyDescent="0.25">
      <c r="B66" s="168" t="s">
        <v>14</v>
      </c>
      <c r="C66" s="169" t="s">
        <v>13</v>
      </c>
      <c r="D66" s="169"/>
      <c r="E66" s="170" t="s">
        <v>22</v>
      </c>
      <c r="F66" s="170" t="s">
        <v>37</v>
      </c>
      <c r="G66" s="171" t="s">
        <v>103</v>
      </c>
      <c r="H66" s="171" t="s">
        <v>104</v>
      </c>
      <c r="I66" s="171" t="s">
        <v>105</v>
      </c>
      <c r="J66" s="171" t="s">
        <v>106</v>
      </c>
      <c r="K66" s="171" t="s">
        <v>107</v>
      </c>
      <c r="L66" s="171" t="s">
        <v>108</v>
      </c>
      <c r="M66" s="171" t="s">
        <v>109</v>
      </c>
      <c r="N66" s="171" t="s">
        <v>110</v>
      </c>
      <c r="O66" s="171" t="s">
        <v>111</v>
      </c>
      <c r="P66" s="171" t="s">
        <v>112</v>
      </c>
      <c r="Q66" s="171" t="s">
        <v>113</v>
      </c>
      <c r="R66" s="171" t="s">
        <v>114</v>
      </c>
      <c r="S66" s="171" t="s">
        <v>115</v>
      </c>
      <c r="T66" s="171" t="s">
        <v>116</v>
      </c>
      <c r="U66" s="171" t="s">
        <v>117</v>
      </c>
      <c r="V66" s="171" t="s">
        <v>118</v>
      </c>
      <c r="W66" s="171" t="s">
        <v>119</v>
      </c>
      <c r="X66" s="171" t="s">
        <v>120</v>
      </c>
      <c r="Y66" s="171" t="s">
        <v>121</v>
      </c>
      <c r="Z66" s="171" t="s">
        <v>122</v>
      </c>
      <c r="AA66" s="171" t="s">
        <v>123</v>
      </c>
      <c r="AB66" s="171" t="s">
        <v>124</v>
      </c>
      <c r="AC66" s="171" t="s">
        <v>125</v>
      </c>
      <c r="AD66" s="171" t="s">
        <v>126</v>
      </c>
      <c r="AE66" s="171" t="s">
        <v>127</v>
      </c>
      <c r="AF66" s="171" t="s">
        <v>153</v>
      </c>
    </row>
    <row r="67" spans="1:32" x14ac:dyDescent="0.2">
      <c r="A67" s="149"/>
      <c r="B67" s="172">
        <v>1</v>
      </c>
      <c r="C67" s="13" t="s">
        <v>96</v>
      </c>
      <c r="D67" s="164"/>
      <c r="E67" s="173" t="s">
        <v>35</v>
      </c>
      <c r="F67" s="17">
        <v>-20378268.720397383</v>
      </c>
      <c r="G67" s="16">
        <v>0</v>
      </c>
      <c r="H67" s="16">
        <v>0</v>
      </c>
      <c r="I67" s="16">
        <v>0</v>
      </c>
      <c r="J67" s="16">
        <v>0</v>
      </c>
      <c r="K67" s="16">
        <v>-2110000</v>
      </c>
      <c r="L67" s="16">
        <v>-2110000</v>
      </c>
      <c r="M67" s="16">
        <v>-2110000</v>
      </c>
      <c r="N67" s="16">
        <v>-2110000</v>
      </c>
      <c r="O67" s="16">
        <v>-2110000</v>
      </c>
      <c r="P67" s="16">
        <v>-2110000</v>
      </c>
      <c r="Q67" s="16">
        <v>-2110000</v>
      </c>
      <c r="R67" s="16">
        <v>-2110000</v>
      </c>
      <c r="S67" s="16">
        <v>-2110000</v>
      </c>
      <c r="T67" s="16">
        <v>-2110000</v>
      </c>
      <c r="U67" s="16">
        <v>-2110000</v>
      </c>
      <c r="V67" s="16">
        <v>-2110000</v>
      </c>
      <c r="W67" s="16">
        <v>-2110000</v>
      </c>
      <c r="X67" s="16">
        <v>-2110000</v>
      </c>
      <c r="Y67" s="16">
        <v>-2110000</v>
      </c>
      <c r="Z67" s="16">
        <v>-2110000</v>
      </c>
      <c r="AA67" s="16">
        <v>-2110000</v>
      </c>
      <c r="AB67" s="16">
        <v>-2110000</v>
      </c>
      <c r="AC67" s="16">
        <v>-2110000</v>
      </c>
      <c r="AD67" s="16">
        <v>-2110000</v>
      </c>
      <c r="AE67" s="16">
        <v>-2110000</v>
      </c>
      <c r="AF67" s="16">
        <v>-2110000</v>
      </c>
    </row>
    <row r="68" spans="1:32" x14ac:dyDescent="0.2">
      <c r="A68" s="149"/>
      <c r="B68" s="172">
        <v>2</v>
      </c>
      <c r="C68" s="13" t="s">
        <v>97</v>
      </c>
      <c r="D68" s="164"/>
      <c r="E68" s="173" t="s">
        <v>35</v>
      </c>
      <c r="F68" s="17">
        <v>-29263580.200381078</v>
      </c>
      <c r="G68" s="16">
        <v>0</v>
      </c>
      <c r="H68" s="16">
        <v>0</v>
      </c>
      <c r="I68" s="16">
        <v>0</v>
      </c>
      <c r="J68" s="16">
        <v>0</v>
      </c>
      <c r="K68" s="16">
        <v>-3030000</v>
      </c>
      <c r="L68" s="16">
        <v>-3030000</v>
      </c>
      <c r="M68" s="16">
        <v>-3030000</v>
      </c>
      <c r="N68" s="16">
        <v>-3030000</v>
      </c>
      <c r="O68" s="16">
        <v>-3030000</v>
      </c>
      <c r="P68" s="16">
        <v>-3030000</v>
      </c>
      <c r="Q68" s="16">
        <v>-3030000</v>
      </c>
      <c r="R68" s="16">
        <v>-3030000</v>
      </c>
      <c r="S68" s="16">
        <v>-3030000</v>
      </c>
      <c r="T68" s="16">
        <v>-3030000</v>
      </c>
      <c r="U68" s="16">
        <v>-3030000</v>
      </c>
      <c r="V68" s="16">
        <v>-3030000</v>
      </c>
      <c r="W68" s="16">
        <v>-3030000</v>
      </c>
      <c r="X68" s="16">
        <v>-3030000</v>
      </c>
      <c r="Y68" s="16">
        <v>-3030000</v>
      </c>
      <c r="Z68" s="16">
        <v>-3030000</v>
      </c>
      <c r="AA68" s="16">
        <v>-3030000</v>
      </c>
      <c r="AB68" s="16">
        <v>-3030000</v>
      </c>
      <c r="AC68" s="16">
        <v>-3030000</v>
      </c>
      <c r="AD68" s="16">
        <v>-3030000</v>
      </c>
      <c r="AE68" s="16">
        <v>-3030000</v>
      </c>
      <c r="AF68" s="16">
        <v>-3030000</v>
      </c>
    </row>
    <row r="69" spans="1:32" x14ac:dyDescent="0.2">
      <c r="A69" s="149"/>
      <c r="B69" s="172">
        <v>3</v>
      </c>
      <c r="C69" s="13" t="s">
        <v>98</v>
      </c>
      <c r="D69" s="164"/>
      <c r="E69" s="173" t="s">
        <v>35</v>
      </c>
      <c r="F69" s="17">
        <v>-37955732.735147744</v>
      </c>
      <c r="G69" s="16">
        <v>0</v>
      </c>
      <c r="H69" s="16">
        <v>0</v>
      </c>
      <c r="I69" s="16">
        <v>0</v>
      </c>
      <c r="J69" s="16">
        <v>0</v>
      </c>
      <c r="K69" s="16">
        <v>-3930000</v>
      </c>
      <c r="L69" s="16">
        <v>-3930000</v>
      </c>
      <c r="M69" s="16">
        <v>-3930000</v>
      </c>
      <c r="N69" s="16">
        <v>-3930000</v>
      </c>
      <c r="O69" s="16">
        <v>-3930000</v>
      </c>
      <c r="P69" s="16">
        <v>-3930000</v>
      </c>
      <c r="Q69" s="16">
        <v>-3930000</v>
      </c>
      <c r="R69" s="16">
        <v>-3930000</v>
      </c>
      <c r="S69" s="16">
        <v>-3930000</v>
      </c>
      <c r="T69" s="16">
        <v>-3930000</v>
      </c>
      <c r="U69" s="16">
        <v>-3930000</v>
      </c>
      <c r="V69" s="16">
        <v>-3930000</v>
      </c>
      <c r="W69" s="16">
        <v>-3930000</v>
      </c>
      <c r="X69" s="16">
        <v>-3930000</v>
      </c>
      <c r="Y69" s="16">
        <v>-3930000</v>
      </c>
      <c r="Z69" s="16">
        <v>-3930000</v>
      </c>
      <c r="AA69" s="16">
        <v>-3930000</v>
      </c>
      <c r="AB69" s="16">
        <v>-3930000</v>
      </c>
      <c r="AC69" s="16">
        <v>-3930000</v>
      </c>
      <c r="AD69" s="16">
        <v>-3930000</v>
      </c>
      <c r="AE69" s="16">
        <v>-3930000</v>
      </c>
      <c r="AF69" s="16">
        <v>-3930000</v>
      </c>
    </row>
    <row r="70" spans="1:32" x14ac:dyDescent="0.2">
      <c r="A70" s="149"/>
      <c r="B70" s="172">
        <v>4</v>
      </c>
      <c r="C70" s="13" t="s">
        <v>99</v>
      </c>
      <c r="D70" s="164"/>
      <c r="E70" s="173" t="s">
        <v>35</v>
      </c>
      <c r="F70" s="17">
        <v>-5226518.5098549332</v>
      </c>
      <c r="G70" s="16">
        <v>0</v>
      </c>
      <c r="H70" s="16">
        <v>0</v>
      </c>
      <c r="I70" s="16">
        <v>0</v>
      </c>
      <c r="J70" s="16">
        <v>-500000</v>
      </c>
      <c r="K70" s="16">
        <v>-500000</v>
      </c>
      <c r="L70" s="16">
        <v>-500000</v>
      </c>
      <c r="M70" s="16">
        <v>-500000</v>
      </c>
      <c r="N70" s="16">
        <v>-500000</v>
      </c>
      <c r="O70" s="16">
        <v>-500000</v>
      </c>
      <c r="P70" s="16">
        <v>-500000</v>
      </c>
      <c r="Q70" s="16">
        <v>-500000</v>
      </c>
      <c r="R70" s="16">
        <v>-500000</v>
      </c>
      <c r="S70" s="16">
        <v>-500000</v>
      </c>
      <c r="T70" s="16">
        <v>-500000</v>
      </c>
      <c r="U70" s="16">
        <v>-500000</v>
      </c>
      <c r="V70" s="16">
        <v>-500000</v>
      </c>
      <c r="W70" s="16">
        <v>-500000</v>
      </c>
      <c r="X70" s="16">
        <v>-500000</v>
      </c>
      <c r="Y70" s="16">
        <v>-500000</v>
      </c>
      <c r="Z70" s="16">
        <v>-500000</v>
      </c>
      <c r="AA70" s="16">
        <v>-500000</v>
      </c>
      <c r="AB70" s="16">
        <v>-500000</v>
      </c>
      <c r="AC70" s="16">
        <v>-500000</v>
      </c>
      <c r="AD70" s="16">
        <v>-500000</v>
      </c>
      <c r="AE70" s="16">
        <v>-500000</v>
      </c>
      <c r="AF70" s="16">
        <v>-500000</v>
      </c>
    </row>
    <row r="71" spans="1:32" x14ac:dyDescent="0.2">
      <c r="A71" s="149"/>
      <c r="B71" s="172">
        <v>5</v>
      </c>
      <c r="C71" s="13" t="s">
        <v>100</v>
      </c>
      <c r="D71" s="164"/>
      <c r="E71" s="173" t="s">
        <v>35</v>
      </c>
      <c r="F71" s="17"/>
      <c r="G71" s="16" t="s">
        <v>240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1:32" x14ac:dyDescent="0.2">
      <c r="B72" s="172">
        <v>6</v>
      </c>
      <c r="C72" s="13" t="s">
        <v>174</v>
      </c>
      <c r="D72" s="164"/>
      <c r="E72" s="173" t="s">
        <v>35</v>
      </c>
      <c r="F72" s="17"/>
      <c r="G72" s="16" t="s">
        <v>240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1:32" x14ac:dyDescent="0.2">
      <c r="B73" s="161"/>
      <c r="C73" s="165"/>
      <c r="D73" s="165"/>
      <c r="E73" s="161"/>
      <c r="F73" s="126"/>
      <c r="H73" s="126"/>
      <c r="I73" s="126"/>
    </row>
    <row r="74" spans="1:32" ht="15.75" x14ac:dyDescent="0.25">
      <c r="B74" s="57" t="s">
        <v>190</v>
      </c>
      <c r="C74" s="57"/>
      <c r="D74" s="57"/>
      <c r="E74" s="66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</row>
    <row r="75" spans="1:32" ht="15.75" x14ac:dyDescent="0.25">
      <c r="B75" s="58" t="s">
        <v>14</v>
      </c>
      <c r="C75" s="58" t="s">
        <v>13</v>
      </c>
      <c r="D75" s="58"/>
      <c r="E75" s="62" t="s">
        <v>7</v>
      </c>
      <c r="F75" s="62" t="s">
        <v>37</v>
      </c>
      <c r="G75" s="171" t="s">
        <v>103</v>
      </c>
      <c r="H75" s="171" t="s">
        <v>104</v>
      </c>
      <c r="I75" s="171" t="s">
        <v>105</v>
      </c>
      <c r="J75" s="171" t="s">
        <v>106</v>
      </c>
      <c r="K75" s="171" t="s">
        <v>107</v>
      </c>
      <c r="L75" s="171" t="s">
        <v>108</v>
      </c>
      <c r="M75" s="171" t="s">
        <v>109</v>
      </c>
      <c r="N75" s="171" t="s">
        <v>110</v>
      </c>
      <c r="O75" s="171" t="s">
        <v>111</v>
      </c>
      <c r="P75" s="171" t="s">
        <v>112</v>
      </c>
      <c r="Q75" s="171" t="s">
        <v>113</v>
      </c>
      <c r="R75" s="171" t="s">
        <v>114</v>
      </c>
      <c r="S75" s="171" t="s">
        <v>115</v>
      </c>
      <c r="T75" s="171" t="s">
        <v>116</v>
      </c>
      <c r="U75" s="171" t="s">
        <v>117</v>
      </c>
      <c r="V75" s="171" t="s">
        <v>118</v>
      </c>
      <c r="W75" s="171" t="s">
        <v>119</v>
      </c>
      <c r="X75" s="171" t="s">
        <v>120</v>
      </c>
      <c r="Y75" s="171" t="s">
        <v>121</v>
      </c>
      <c r="Z75" s="171" t="s">
        <v>122</v>
      </c>
      <c r="AA75" s="171" t="s">
        <v>123</v>
      </c>
      <c r="AB75" s="171" t="s">
        <v>124</v>
      </c>
      <c r="AC75" s="171" t="s">
        <v>125</v>
      </c>
      <c r="AD75" s="171" t="s">
        <v>126</v>
      </c>
      <c r="AE75" s="171" t="s">
        <v>127</v>
      </c>
      <c r="AF75" s="171" t="s">
        <v>153</v>
      </c>
    </row>
    <row r="76" spans="1:32" x14ac:dyDescent="0.2">
      <c r="B76" s="172">
        <v>1</v>
      </c>
      <c r="C76" s="115" t="s">
        <v>96</v>
      </c>
      <c r="D76" s="61"/>
      <c r="E76" s="67" t="s">
        <v>35</v>
      </c>
      <c r="F76" s="17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</row>
    <row r="77" spans="1:32" x14ac:dyDescent="0.2">
      <c r="B77" s="172">
        <v>2</v>
      </c>
      <c r="C77" s="115" t="s">
        <v>97</v>
      </c>
      <c r="D77" s="61"/>
      <c r="E77" s="67" t="s">
        <v>35</v>
      </c>
      <c r="F77" s="17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</row>
    <row r="78" spans="1:32" x14ac:dyDescent="0.2">
      <c r="B78" s="172">
        <v>3</v>
      </c>
      <c r="C78" s="115" t="s">
        <v>98</v>
      </c>
      <c r="D78" s="61"/>
      <c r="E78" s="67" t="s">
        <v>35</v>
      </c>
      <c r="F78" s="17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</row>
    <row r="79" spans="1:32" x14ac:dyDescent="0.2">
      <c r="B79" s="172">
        <v>4</v>
      </c>
      <c r="C79" s="115" t="s">
        <v>99</v>
      </c>
      <c r="D79" s="61"/>
      <c r="E79" s="67" t="s">
        <v>35</v>
      </c>
      <c r="F79" s="17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</row>
    <row r="80" spans="1:32" x14ac:dyDescent="0.2">
      <c r="B80" s="172">
        <v>5</v>
      </c>
      <c r="C80" s="115" t="s">
        <v>100</v>
      </c>
      <c r="D80" s="61"/>
      <c r="E80" s="67" t="s">
        <v>35</v>
      </c>
      <c r="F80" s="17"/>
      <c r="G80" s="16" t="s">
        <v>240</v>
      </c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</row>
    <row r="81" spans="1:32" x14ac:dyDescent="0.2">
      <c r="B81" s="172">
        <v>6</v>
      </c>
      <c r="C81" s="115" t="s">
        <v>174</v>
      </c>
      <c r="D81" s="61"/>
      <c r="E81" s="67" t="s">
        <v>35</v>
      </c>
      <c r="F81" s="17"/>
      <c r="G81" s="16" t="s">
        <v>240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</row>
    <row r="83" spans="1:32" ht="21" x14ac:dyDescent="0.35">
      <c r="B83" s="162" t="s">
        <v>51</v>
      </c>
      <c r="C83" s="163"/>
      <c r="D83" s="163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</row>
    <row r="84" spans="1:32" x14ac:dyDescent="0.2">
      <c r="B84" s="161"/>
      <c r="C84" s="165"/>
      <c r="D84" s="165"/>
      <c r="E84" s="161"/>
      <c r="F84" s="161"/>
    </row>
    <row r="85" spans="1:32" ht="15.75" x14ac:dyDescent="0.25">
      <c r="B85" s="166" t="s">
        <v>66</v>
      </c>
      <c r="C85" s="167"/>
      <c r="D85" s="167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</row>
    <row r="86" spans="1:32" ht="15.75" x14ac:dyDescent="0.25">
      <c r="B86" s="168" t="s">
        <v>14</v>
      </c>
      <c r="C86" s="169" t="s">
        <v>13</v>
      </c>
      <c r="D86" s="169"/>
      <c r="E86" s="170" t="s">
        <v>22</v>
      </c>
      <c r="F86" s="170" t="s">
        <v>37</v>
      </c>
      <c r="G86" s="171" t="s">
        <v>103</v>
      </c>
      <c r="H86" s="171" t="s">
        <v>104</v>
      </c>
      <c r="I86" s="171" t="s">
        <v>105</v>
      </c>
      <c r="J86" s="171" t="s">
        <v>106</v>
      </c>
      <c r="K86" s="171" t="s">
        <v>107</v>
      </c>
      <c r="L86" s="171" t="s">
        <v>108</v>
      </c>
      <c r="M86" s="171" t="s">
        <v>109</v>
      </c>
      <c r="N86" s="171" t="s">
        <v>110</v>
      </c>
      <c r="O86" s="171" t="s">
        <v>111</v>
      </c>
      <c r="P86" s="171" t="s">
        <v>112</v>
      </c>
      <c r="Q86" s="171" t="s">
        <v>113</v>
      </c>
      <c r="R86" s="171" t="s">
        <v>114</v>
      </c>
      <c r="S86" s="171" t="s">
        <v>115</v>
      </c>
      <c r="T86" s="171" t="s">
        <v>116</v>
      </c>
      <c r="U86" s="171" t="s">
        <v>117</v>
      </c>
      <c r="V86" s="171" t="s">
        <v>118</v>
      </c>
      <c r="W86" s="171" t="s">
        <v>119</v>
      </c>
      <c r="X86" s="171" t="s">
        <v>120</v>
      </c>
      <c r="Y86" s="171" t="s">
        <v>121</v>
      </c>
      <c r="Z86" s="171" t="s">
        <v>122</v>
      </c>
      <c r="AA86" s="171" t="s">
        <v>123</v>
      </c>
      <c r="AB86" s="171" t="s">
        <v>124</v>
      </c>
      <c r="AC86" s="171" t="s">
        <v>125</v>
      </c>
      <c r="AD86" s="171" t="s">
        <v>126</v>
      </c>
      <c r="AE86" s="171" t="s">
        <v>127</v>
      </c>
      <c r="AF86" s="171" t="s">
        <v>153</v>
      </c>
    </row>
    <row r="87" spans="1:32" x14ac:dyDescent="0.2">
      <c r="A87" s="149"/>
      <c r="B87" s="172">
        <v>1</v>
      </c>
      <c r="C87" s="13" t="s">
        <v>96</v>
      </c>
      <c r="D87" s="164"/>
      <c r="E87" s="173" t="s">
        <v>35</v>
      </c>
      <c r="F87" s="17">
        <v>-198937.75633900368</v>
      </c>
      <c r="G87" s="16">
        <v>0</v>
      </c>
      <c r="H87" s="16">
        <v>-10.299304686486721</v>
      </c>
      <c r="I87" s="16">
        <v>-43.541096937436521</v>
      </c>
      <c r="J87" s="16">
        <v>-219.26661871373653</v>
      </c>
      <c r="K87" s="16">
        <v>103717.83433809876</v>
      </c>
      <c r="L87" s="16">
        <v>-51.705474810002954</v>
      </c>
      <c r="M87" s="16">
        <v>-54.732229533154566</v>
      </c>
      <c r="N87" s="16">
        <v>-58.135084357359972</v>
      </c>
      <c r="O87" s="16">
        <v>-61.435977722621999</v>
      </c>
      <c r="P87" s="16">
        <v>-65.129954774735324</v>
      </c>
      <c r="Q87" s="16">
        <v>-2491936.9152302574</v>
      </c>
      <c r="R87" s="16">
        <v>-73.29002618726463</v>
      </c>
      <c r="S87" s="16">
        <v>-77.480889963891684</v>
      </c>
      <c r="T87" s="16">
        <v>-82.245959609519673</v>
      </c>
      <c r="U87" s="16">
        <v>-102.14245040937112</v>
      </c>
      <c r="V87" s="16">
        <v>-92.101912854661009</v>
      </c>
      <c r="W87" s="16">
        <v>-97.236713639093409</v>
      </c>
      <c r="X87" s="16">
        <v>2864951.5826932453</v>
      </c>
      <c r="Y87" s="16">
        <v>-109.33923344019263</v>
      </c>
      <c r="Z87" s="16">
        <v>-116.02412961286507</v>
      </c>
      <c r="AA87" s="16">
        <v>-122.58099550950647</v>
      </c>
      <c r="AB87" s="16">
        <v>-129.92168585136994</v>
      </c>
      <c r="AC87" s="16">
        <v>110582.24733206443</v>
      </c>
      <c r="AD87" s="16">
        <v>-145.91429933844097</v>
      </c>
      <c r="AE87" s="16">
        <v>-154.26430805433188</v>
      </c>
      <c r="AF87" s="16">
        <v>-163.37783897037866</v>
      </c>
    </row>
    <row r="88" spans="1:32" x14ac:dyDescent="0.2">
      <c r="A88" s="149"/>
      <c r="B88" s="172">
        <v>2</v>
      </c>
      <c r="C88" s="13" t="s">
        <v>97</v>
      </c>
      <c r="D88" s="164"/>
      <c r="E88" s="173" t="s">
        <v>35</v>
      </c>
      <c r="F88" s="17">
        <v>-198937.75633900368</v>
      </c>
      <c r="G88" s="16">
        <v>0</v>
      </c>
      <c r="H88" s="16">
        <v>-10.299304686486721</v>
      </c>
      <c r="I88" s="16">
        <v>-43.541096937436521</v>
      </c>
      <c r="J88" s="16">
        <v>-219.26661871373653</v>
      </c>
      <c r="K88" s="16">
        <v>103717.83433809876</v>
      </c>
      <c r="L88" s="16">
        <v>-51.705474810002954</v>
      </c>
      <c r="M88" s="16">
        <v>-54.732229533154566</v>
      </c>
      <c r="N88" s="16">
        <v>-58.135084357359972</v>
      </c>
      <c r="O88" s="16">
        <v>-61.435977722621999</v>
      </c>
      <c r="P88" s="16">
        <v>-65.129954774735324</v>
      </c>
      <c r="Q88" s="16">
        <v>-2491936.9152302574</v>
      </c>
      <c r="R88" s="16">
        <v>-73.29002618726463</v>
      </c>
      <c r="S88" s="16">
        <v>-77.480889963891684</v>
      </c>
      <c r="T88" s="16">
        <v>-82.245959609519673</v>
      </c>
      <c r="U88" s="16">
        <v>-102.14245040937112</v>
      </c>
      <c r="V88" s="16">
        <v>-92.101912854661009</v>
      </c>
      <c r="W88" s="16">
        <v>-97.236713639093409</v>
      </c>
      <c r="X88" s="16">
        <v>2864951.5826932453</v>
      </c>
      <c r="Y88" s="16">
        <v>-109.33923344019263</v>
      </c>
      <c r="Z88" s="16">
        <v>-116.02412961286507</v>
      </c>
      <c r="AA88" s="16">
        <v>-122.58099550950647</v>
      </c>
      <c r="AB88" s="16">
        <v>-129.92168585136994</v>
      </c>
      <c r="AC88" s="16">
        <v>110582.24733206443</v>
      </c>
      <c r="AD88" s="16">
        <v>-145.91429933844097</v>
      </c>
      <c r="AE88" s="16">
        <v>-154.26430805433188</v>
      </c>
      <c r="AF88" s="16">
        <v>-163.37783897037866</v>
      </c>
    </row>
    <row r="89" spans="1:32" x14ac:dyDescent="0.2">
      <c r="A89" s="149"/>
      <c r="B89" s="172">
        <v>3</v>
      </c>
      <c r="C89" s="13" t="s">
        <v>98</v>
      </c>
      <c r="D89" s="164"/>
      <c r="E89" s="173" t="s">
        <v>35</v>
      </c>
      <c r="F89" s="17">
        <v>-102967.66341496434</v>
      </c>
      <c r="G89" s="16">
        <v>0</v>
      </c>
      <c r="H89" s="16">
        <v>-21.986669786274433</v>
      </c>
      <c r="I89" s="16">
        <v>63.867187067570484</v>
      </c>
      <c r="J89" s="16">
        <v>-558.30683775246143</v>
      </c>
      <c r="K89" s="16">
        <v>103698.92253890634</v>
      </c>
      <c r="L89" s="16">
        <v>75.837073565286573</v>
      </c>
      <c r="M89" s="16">
        <v>80.321483825106839</v>
      </c>
      <c r="N89" s="16">
        <v>85.305603082840605</v>
      </c>
      <c r="O89" s="16">
        <v>90.0883957059811</v>
      </c>
      <c r="P89" s="16">
        <v>95.394329356712092</v>
      </c>
      <c r="Q89" s="16">
        <v>-2181134.1106491024</v>
      </c>
      <c r="R89" s="16">
        <v>107.26129363082953</v>
      </c>
      <c r="S89" s="16">
        <v>113.2659947591967</v>
      </c>
      <c r="T89" s="16">
        <v>119.92200968811119</v>
      </c>
      <c r="U89" s="16">
        <v>126.1690435605326</v>
      </c>
      <c r="V89" s="16">
        <v>134.94058010644972</v>
      </c>
      <c r="W89" s="16">
        <v>142.49257560422626</v>
      </c>
      <c r="X89" s="16">
        <v>2674664.0846905708</v>
      </c>
      <c r="Y89" s="16">
        <v>159.72332387445817</v>
      </c>
      <c r="Z89" s="16">
        <v>169.67538343132674</v>
      </c>
      <c r="AA89" s="16">
        <v>179.14050429025906</v>
      </c>
      <c r="AB89" s="16">
        <v>189.74078996508433</v>
      </c>
      <c r="AC89" s="16">
        <v>99031.314934318885</v>
      </c>
      <c r="AD89" s="16">
        <v>214.81872713552809</v>
      </c>
      <c r="AE89" s="16">
        <v>225.18005116477923</v>
      </c>
      <c r="AF89" s="16">
        <v>238.50151547972962</v>
      </c>
    </row>
    <row r="90" spans="1:32" x14ac:dyDescent="0.2">
      <c r="A90" s="149"/>
      <c r="B90" s="172">
        <v>4</v>
      </c>
      <c r="C90" s="13" t="s">
        <v>99</v>
      </c>
      <c r="D90" s="164"/>
      <c r="E90" s="173" t="s">
        <v>35</v>
      </c>
      <c r="F90" s="17">
        <v>-310314.21011599153</v>
      </c>
      <c r="G90" s="16">
        <v>0</v>
      </c>
      <c r="H90" s="16">
        <v>18.814144685864449</v>
      </c>
      <c r="I90" s="16">
        <v>-83.341872264821291</v>
      </c>
      <c r="J90" s="16">
        <v>60170.130329310894</v>
      </c>
      <c r="K90" s="16">
        <v>-175919.26975727081</v>
      </c>
      <c r="L90" s="16">
        <v>-98.960872337377225</v>
      </c>
      <c r="M90" s="16">
        <v>-104.80066020213633</v>
      </c>
      <c r="N90" s="16">
        <v>-111.30460676392175</v>
      </c>
      <c r="O90" s="16">
        <v>-117.56153470538982</v>
      </c>
      <c r="P90" s="16">
        <v>-124.51543742994807</v>
      </c>
      <c r="Q90" s="16">
        <v>-648504.35727984319</v>
      </c>
      <c r="R90" s="16">
        <v>-140.0366278832804</v>
      </c>
      <c r="S90" s="16">
        <v>-147.91163234685513</v>
      </c>
      <c r="T90" s="16">
        <v>-156.69516987287966</v>
      </c>
      <c r="U90" s="16">
        <v>-169.49989939864645</v>
      </c>
      <c r="V90" s="16">
        <v>-176.12333310906445</v>
      </c>
      <c r="W90" s="16">
        <v>-185.97186289887929</v>
      </c>
      <c r="X90" s="16">
        <v>278146.46365423128</v>
      </c>
      <c r="Y90" s="16">
        <v>-208.61729664125551</v>
      </c>
      <c r="Z90" s="16">
        <v>-221.55787828301709</v>
      </c>
      <c r="AA90" s="16">
        <v>-233.97198608188</v>
      </c>
      <c r="AB90" s="16">
        <v>-247.87746001413234</v>
      </c>
      <c r="AC90" s="16">
        <v>79673.758470878005</v>
      </c>
      <c r="AD90" s="16">
        <v>-278.37115980045246</v>
      </c>
      <c r="AE90" s="16">
        <v>-294.18495230065287</v>
      </c>
      <c r="AF90" s="16">
        <v>-311.58940725114212</v>
      </c>
    </row>
    <row r="91" spans="1:32" x14ac:dyDescent="0.2">
      <c r="A91" s="149"/>
      <c r="B91" s="172">
        <v>5</v>
      </c>
      <c r="C91" s="13" t="s">
        <v>100</v>
      </c>
      <c r="D91" s="164"/>
      <c r="E91" s="173" t="s">
        <v>35</v>
      </c>
      <c r="F91" s="17"/>
      <c r="G91" s="16" t="s">
        <v>240</v>
      </c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x14ac:dyDescent="0.2">
      <c r="A92" s="149"/>
      <c r="B92" s="172">
        <v>6</v>
      </c>
      <c r="C92" s="13" t="s">
        <v>174</v>
      </c>
      <c r="D92" s="164"/>
      <c r="E92" s="173" t="s">
        <v>35</v>
      </c>
      <c r="F92" s="17"/>
      <c r="G92" s="16" t="s">
        <v>240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x14ac:dyDescent="0.2">
      <c r="B93" s="161"/>
      <c r="C93" s="165"/>
      <c r="D93" s="165"/>
      <c r="E93" s="161"/>
      <c r="F93" s="126"/>
    </row>
    <row r="94" spans="1:32" ht="15.75" x14ac:dyDescent="0.25">
      <c r="B94" s="166" t="s">
        <v>60</v>
      </c>
      <c r="C94" s="167"/>
      <c r="D94" s="167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</row>
    <row r="95" spans="1:32" ht="15.75" x14ac:dyDescent="0.25">
      <c r="B95" s="168" t="s">
        <v>14</v>
      </c>
      <c r="C95" s="169" t="s">
        <v>13</v>
      </c>
      <c r="D95" s="169"/>
      <c r="E95" s="170" t="s">
        <v>22</v>
      </c>
      <c r="F95" s="170" t="s">
        <v>37</v>
      </c>
      <c r="G95" s="171" t="s">
        <v>103</v>
      </c>
      <c r="H95" s="171" t="s">
        <v>104</v>
      </c>
      <c r="I95" s="171" t="s">
        <v>105</v>
      </c>
      <c r="J95" s="171" t="s">
        <v>106</v>
      </c>
      <c r="K95" s="171" t="s">
        <v>107</v>
      </c>
      <c r="L95" s="171" t="s">
        <v>108</v>
      </c>
      <c r="M95" s="171" t="s">
        <v>109</v>
      </c>
      <c r="N95" s="171" t="s">
        <v>110</v>
      </c>
      <c r="O95" s="171" t="s">
        <v>111</v>
      </c>
      <c r="P95" s="171" t="s">
        <v>112</v>
      </c>
      <c r="Q95" s="171" t="s">
        <v>113</v>
      </c>
      <c r="R95" s="171" t="s">
        <v>114</v>
      </c>
      <c r="S95" s="171" t="s">
        <v>115</v>
      </c>
      <c r="T95" s="171" t="s">
        <v>116</v>
      </c>
      <c r="U95" s="171" t="s">
        <v>117</v>
      </c>
      <c r="V95" s="171" t="s">
        <v>118</v>
      </c>
      <c r="W95" s="171" t="s">
        <v>119</v>
      </c>
      <c r="X95" s="171" t="s">
        <v>120</v>
      </c>
      <c r="Y95" s="171" t="s">
        <v>121</v>
      </c>
      <c r="Z95" s="171" t="s">
        <v>122</v>
      </c>
      <c r="AA95" s="171" t="s">
        <v>123</v>
      </c>
      <c r="AB95" s="171" t="s">
        <v>124</v>
      </c>
      <c r="AC95" s="171" t="s">
        <v>125</v>
      </c>
      <c r="AD95" s="171" t="s">
        <v>126</v>
      </c>
      <c r="AE95" s="171" t="s">
        <v>127</v>
      </c>
      <c r="AF95" s="171" t="s">
        <v>153</v>
      </c>
    </row>
    <row r="96" spans="1:32" x14ac:dyDescent="0.2">
      <c r="B96" s="172">
        <v>1</v>
      </c>
      <c r="C96" s="13" t="s">
        <v>96</v>
      </c>
      <c r="D96" s="164"/>
      <c r="E96" s="173" t="s">
        <v>35</v>
      </c>
      <c r="F96" s="17">
        <v>17061620.07242474</v>
      </c>
      <c r="G96" s="16">
        <v>0</v>
      </c>
      <c r="H96" s="16">
        <v>-90.769536613062428</v>
      </c>
      <c r="I96" s="16">
        <v>-443.55890000432601</v>
      </c>
      <c r="J96" s="16">
        <v>-110.66482715821462</v>
      </c>
      <c r="K96" s="16">
        <v>-64.739579404009305</v>
      </c>
      <c r="L96" s="16">
        <v>-124.0156953326084</v>
      </c>
      <c r="M96" s="16">
        <v>-167.71805010308549</v>
      </c>
      <c r="N96" s="16">
        <v>-128.00999619943229</v>
      </c>
      <c r="O96" s="16">
        <v>-993.52259959320872</v>
      </c>
      <c r="P96" s="16">
        <v>-4504052.3857549066</v>
      </c>
      <c r="Q96" s="16">
        <v>102059905.15136421</v>
      </c>
      <c r="R96" s="16">
        <v>-328.87254710336833</v>
      </c>
      <c r="S96" s="16">
        <v>-26885646.289274871</v>
      </c>
      <c r="T96" s="16">
        <v>-13009176.786022305</v>
      </c>
      <c r="U96" s="16">
        <v>-14775916.049459696</v>
      </c>
      <c r="V96" s="16">
        <v>4779187.5695052147</v>
      </c>
      <c r="W96" s="16">
        <v>-17215311.784490108</v>
      </c>
      <c r="X96" s="16">
        <v>-20758373.410804033</v>
      </c>
      <c r="Y96" s="16">
        <v>5271946.4281407446</v>
      </c>
      <c r="Z96" s="16">
        <v>2192135.4975454696</v>
      </c>
      <c r="AA96" s="16">
        <v>-6666324.7823000252</v>
      </c>
      <c r="AB96" s="16">
        <v>-3619509.9794630706</v>
      </c>
      <c r="AC96" s="16">
        <v>244603.15423157811</v>
      </c>
      <c r="AD96" s="16">
        <v>2555401.1016417742</v>
      </c>
      <c r="AE96" s="16">
        <v>6163004.4511644244</v>
      </c>
      <c r="AF96" s="16">
        <v>2128090.7057798691</v>
      </c>
    </row>
    <row r="97" spans="2:32" x14ac:dyDescent="0.2">
      <c r="B97" s="172">
        <v>2</v>
      </c>
      <c r="C97" s="13" t="s">
        <v>97</v>
      </c>
      <c r="D97" s="164"/>
      <c r="E97" s="173" t="s">
        <v>35</v>
      </c>
      <c r="F97" s="17">
        <v>17061620.07242474</v>
      </c>
      <c r="G97" s="16">
        <v>0</v>
      </c>
      <c r="H97" s="16">
        <v>-90.769536613062428</v>
      </c>
      <c r="I97" s="16">
        <v>-443.55890000432601</v>
      </c>
      <c r="J97" s="16">
        <v>-110.66482715821462</v>
      </c>
      <c r="K97" s="16">
        <v>-64.739579404009305</v>
      </c>
      <c r="L97" s="16">
        <v>-124.0156953326084</v>
      </c>
      <c r="M97" s="16">
        <v>-167.71805010308549</v>
      </c>
      <c r="N97" s="16">
        <v>-128.00999619943229</v>
      </c>
      <c r="O97" s="16">
        <v>-993.52259959320872</v>
      </c>
      <c r="P97" s="16">
        <v>-4504052.3857549066</v>
      </c>
      <c r="Q97" s="16">
        <v>102059905.15136421</v>
      </c>
      <c r="R97" s="16">
        <v>-328.87254710336833</v>
      </c>
      <c r="S97" s="16">
        <v>-26885646.289274871</v>
      </c>
      <c r="T97" s="16">
        <v>-13009176.786022305</v>
      </c>
      <c r="U97" s="16">
        <v>-14775916.049459696</v>
      </c>
      <c r="V97" s="16">
        <v>4779187.5695052147</v>
      </c>
      <c r="W97" s="16">
        <v>-17215311.784490108</v>
      </c>
      <c r="X97" s="16">
        <v>-20758373.410804033</v>
      </c>
      <c r="Y97" s="16">
        <v>5271946.4281407446</v>
      </c>
      <c r="Z97" s="16">
        <v>2192135.4975454696</v>
      </c>
      <c r="AA97" s="16">
        <v>-6666324.7823000252</v>
      </c>
      <c r="AB97" s="16">
        <v>-3619509.9794630706</v>
      </c>
      <c r="AC97" s="16">
        <v>244603.15423157811</v>
      </c>
      <c r="AD97" s="16">
        <v>2555401.1016417742</v>
      </c>
      <c r="AE97" s="16">
        <v>6163004.4511644244</v>
      </c>
      <c r="AF97" s="16">
        <v>2128090.7057798691</v>
      </c>
    </row>
    <row r="98" spans="2:32" x14ac:dyDescent="0.2">
      <c r="B98" s="172">
        <v>3</v>
      </c>
      <c r="C98" s="13" t="s">
        <v>98</v>
      </c>
      <c r="D98" s="164"/>
      <c r="E98" s="173" t="s">
        <v>35</v>
      </c>
      <c r="F98" s="17">
        <v>18126311.31390487</v>
      </c>
      <c r="G98" s="16">
        <v>0</v>
      </c>
      <c r="H98" s="16">
        <v>107.0342314607218</v>
      </c>
      <c r="I98" s="16">
        <v>598.28521879309801</v>
      </c>
      <c r="J98" s="16">
        <v>81.346053338091167</v>
      </c>
      <c r="K98" s="16">
        <v>21.982639889166052</v>
      </c>
      <c r="L98" s="16">
        <v>123.30743709505373</v>
      </c>
      <c r="M98" s="16">
        <v>139.72754236328228</v>
      </c>
      <c r="N98" s="16">
        <v>21.03469278290595</v>
      </c>
      <c r="O98" s="16">
        <v>1428.1212615956556</v>
      </c>
      <c r="P98" s="16">
        <v>-5046841.5817773687</v>
      </c>
      <c r="Q98" s="16">
        <v>103508480.41441485</v>
      </c>
      <c r="R98" s="16">
        <v>-1.0970368100315682</v>
      </c>
      <c r="S98" s="16">
        <v>-25373531.179955781</v>
      </c>
      <c r="T98" s="16">
        <v>-14091259.259478688</v>
      </c>
      <c r="U98" s="16">
        <v>-16046984.00890483</v>
      </c>
      <c r="V98" s="16">
        <v>6011097.1466518939</v>
      </c>
      <c r="W98" s="16">
        <v>-18183419.034305841</v>
      </c>
      <c r="X98" s="16">
        <v>-18534982.545758843</v>
      </c>
      <c r="Y98" s="16">
        <v>5219919.0994653255</v>
      </c>
      <c r="Z98" s="16">
        <v>2328929.7846127003</v>
      </c>
      <c r="AA98" s="16">
        <v>-7402771.9379654676</v>
      </c>
      <c r="AB98" s="16">
        <v>-2745738.9573802948</v>
      </c>
      <c r="AC98" s="16">
        <v>-378049.51785510778</v>
      </c>
      <c r="AD98" s="16">
        <v>2955201.5540499985</v>
      </c>
      <c r="AE98" s="16">
        <v>6078811.1948397458</v>
      </c>
      <c r="AF98" s="16">
        <v>2195978.1267241836</v>
      </c>
    </row>
    <row r="99" spans="2:32" x14ac:dyDescent="0.2">
      <c r="B99" s="172">
        <v>4</v>
      </c>
      <c r="C99" s="13" t="s">
        <v>99</v>
      </c>
      <c r="D99" s="164"/>
      <c r="E99" s="173" t="s">
        <v>35</v>
      </c>
      <c r="F99" s="17">
        <v>2427306.7018860453</v>
      </c>
      <c r="G99" s="16">
        <v>0</v>
      </c>
      <c r="H99" s="16">
        <v>-163.59765889720416</v>
      </c>
      <c r="I99" s="16">
        <v>-799.53805353736288</v>
      </c>
      <c r="J99" s="16">
        <v>-175.77158009179436</v>
      </c>
      <c r="K99" s="16">
        <v>-34.403431262167175</v>
      </c>
      <c r="L99" s="16">
        <v>-184.45715864460271</v>
      </c>
      <c r="M99" s="16">
        <v>-206.65666033973434</v>
      </c>
      <c r="N99" s="16">
        <v>-62.272953232816349</v>
      </c>
      <c r="O99" s="16">
        <v>-1879.6717893815567</v>
      </c>
      <c r="P99" s="16">
        <v>-112763.61494410317</v>
      </c>
      <c r="Q99" s="16">
        <v>11920436.118543416</v>
      </c>
      <c r="R99" s="16">
        <v>-80.442543758859017</v>
      </c>
      <c r="S99" s="16">
        <v>-1497699.6473653913</v>
      </c>
      <c r="T99" s="16">
        <v>122406.12626695633</v>
      </c>
      <c r="U99" s="16">
        <v>-1885489.4016941935</v>
      </c>
      <c r="V99" s="16">
        <v>932523.07845491171</v>
      </c>
      <c r="W99" s="16">
        <v>-899665.77930545807</v>
      </c>
      <c r="X99" s="16">
        <v>-5385948.5263149738</v>
      </c>
      <c r="Y99" s="16">
        <v>1036308.5118707269</v>
      </c>
      <c r="Z99" s="16">
        <v>-146507.49036634713</v>
      </c>
      <c r="AA99" s="16">
        <v>-2652060.4802078828</v>
      </c>
      <c r="AB99" s="16">
        <v>-598996.66794449091</v>
      </c>
      <c r="AC99" s="16">
        <v>81834.724196314812</v>
      </c>
      <c r="AD99" s="16">
        <v>788423.45642974973</v>
      </c>
      <c r="AE99" s="16">
        <v>-419571.05472198129</v>
      </c>
      <c r="AF99" s="16">
        <v>135898.51241635531</v>
      </c>
    </row>
    <row r="100" spans="2:32" x14ac:dyDescent="0.2">
      <c r="B100" s="172">
        <v>5</v>
      </c>
      <c r="C100" s="13" t="s">
        <v>100</v>
      </c>
      <c r="D100" s="164"/>
      <c r="E100" s="173" t="s">
        <v>35</v>
      </c>
      <c r="F100" s="17"/>
      <c r="G100" s="16" t="s">
        <v>240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2:32" x14ac:dyDescent="0.2">
      <c r="B101" s="172">
        <v>6</v>
      </c>
      <c r="C101" s="13" t="s">
        <v>174</v>
      </c>
      <c r="D101" s="164"/>
      <c r="E101" s="173" t="s">
        <v>35</v>
      </c>
      <c r="F101" s="17"/>
      <c r="G101" s="16" t="s">
        <v>240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2:32" x14ac:dyDescent="0.2">
      <c r="B102" s="161"/>
      <c r="C102" s="165"/>
      <c r="D102" s="165"/>
      <c r="E102" s="161"/>
      <c r="F102" s="126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</row>
    <row r="103" spans="2:32" ht="15.75" x14ac:dyDescent="0.25">
      <c r="B103" s="166" t="s">
        <v>27</v>
      </c>
      <c r="C103" s="167"/>
      <c r="D103" s="167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</row>
    <row r="104" spans="2:32" ht="15.75" x14ac:dyDescent="0.25">
      <c r="B104" s="168" t="s">
        <v>14</v>
      </c>
      <c r="C104" s="169" t="s">
        <v>13</v>
      </c>
      <c r="D104" s="169"/>
      <c r="E104" s="170" t="s">
        <v>22</v>
      </c>
      <c r="F104" s="170" t="s">
        <v>37</v>
      </c>
      <c r="G104" s="171" t="s">
        <v>103</v>
      </c>
      <c r="H104" s="171" t="s">
        <v>104</v>
      </c>
      <c r="I104" s="171" t="s">
        <v>105</v>
      </c>
      <c r="J104" s="171" t="s">
        <v>106</v>
      </c>
      <c r="K104" s="171" t="s">
        <v>107</v>
      </c>
      <c r="L104" s="171" t="s">
        <v>108</v>
      </c>
      <c r="M104" s="171" t="s">
        <v>109</v>
      </c>
      <c r="N104" s="171" t="s">
        <v>110</v>
      </c>
      <c r="O104" s="171" t="s">
        <v>111</v>
      </c>
      <c r="P104" s="171" t="s">
        <v>112</v>
      </c>
      <c r="Q104" s="171" t="s">
        <v>113</v>
      </c>
      <c r="R104" s="171" t="s">
        <v>114</v>
      </c>
      <c r="S104" s="171" t="s">
        <v>115</v>
      </c>
      <c r="T104" s="171" t="s">
        <v>116</v>
      </c>
      <c r="U104" s="171" t="s">
        <v>117</v>
      </c>
      <c r="V104" s="171" t="s">
        <v>118</v>
      </c>
      <c r="W104" s="171" t="s">
        <v>119</v>
      </c>
      <c r="X104" s="171" t="s">
        <v>120</v>
      </c>
      <c r="Y104" s="171" t="s">
        <v>121</v>
      </c>
      <c r="Z104" s="171" t="s">
        <v>122</v>
      </c>
      <c r="AA104" s="171" t="s">
        <v>123</v>
      </c>
      <c r="AB104" s="171" t="s">
        <v>124</v>
      </c>
      <c r="AC104" s="171" t="s">
        <v>125</v>
      </c>
      <c r="AD104" s="171" t="s">
        <v>126</v>
      </c>
      <c r="AE104" s="171" t="s">
        <v>127</v>
      </c>
      <c r="AF104" s="171" t="s">
        <v>153</v>
      </c>
    </row>
    <row r="105" spans="2:32" x14ac:dyDescent="0.2">
      <c r="B105" s="172">
        <v>1</v>
      </c>
      <c r="C105" s="13" t="s">
        <v>96</v>
      </c>
      <c r="D105" s="164"/>
      <c r="E105" s="173" t="s">
        <v>35</v>
      </c>
      <c r="F105" s="17">
        <v>15849786.992000096</v>
      </c>
      <c r="G105" s="16">
        <v>0</v>
      </c>
      <c r="H105" s="16">
        <v>-12221.873394012451</v>
      </c>
      <c r="I105" s="16">
        <v>-12996.338670492172</v>
      </c>
      <c r="J105" s="16">
        <v>74334.982577323914</v>
      </c>
      <c r="K105" s="16">
        <v>6602564.1846456528</v>
      </c>
      <c r="L105" s="16">
        <v>11814836.028223753</v>
      </c>
      <c r="M105" s="16">
        <v>-3533900.5798017979</v>
      </c>
      <c r="N105" s="16">
        <v>714907.98700213432</v>
      </c>
      <c r="O105" s="16">
        <v>4442391.8816189766</v>
      </c>
      <c r="P105" s="16">
        <v>4451620.0191121101</v>
      </c>
      <c r="Q105" s="16">
        <v>4634495.4476010799</v>
      </c>
      <c r="R105" s="16">
        <v>-1052293.701114893</v>
      </c>
      <c r="S105" s="16">
        <v>-2169746.280008316</v>
      </c>
      <c r="T105" s="16">
        <v>1538426.8083841801</v>
      </c>
      <c r="U105" s="16">
        <v>8525693.5083756447</v>
      </c>
      <c r="V105" s="16">
        <v>-4725285.4955124855</v>
      </c>
      <c r="W105" s="16">
        <v>-4494959.3534168005</v>
      </c>
      <c r="X105" s="16">
        <v>595531.28648900986</v>
      </c>
      <c r="Y105" s="16">
        <v>1628406.8390345573</v>
      </c>
      <c r="Z105" s="16">
        <v>-430546.91233563423</v>
      </c>
      <c r="AA105" s="16">
        <v>-3103726.6384158134</v>
      </c>
      <c r="AB105" s="16">
        <v>-1964272.9439942837</v>
      </c>
      <c r="AC105" s="16">
        <v>-316565.38229703903</v>
      </c>
      <c r="AD105" s="16">
        <v>-2476215.5539171696</v>
      </c>
      <c r="AE105" s="16">
        <v>-4406737.8002899885</v>
      </c>
      <c r="AF105" s="16">
        <v>1050103.0646606684</v>
      </c>
    </row>
    <row r="106" spans="2:32" x14ac:dyDescent="0.2">
      <c r="B106" s="172">
        <v>2</v>
      </c>
      <c r="C106" s="13" t="s">
        <v>97</v>
      </c>
      <c r="D106" s="164"/>
      <c r="E106" s="173" t="s">
        <v>35</v>
      </c>
      <c r="F106" s="17">
        <v>15849786.992000096</v>
      </c>
      <c r="G106" s="16">
        <v>0</v>
      </c>
      <c r="H106" s="16">
        <v>-12221.873394012451</v>
      </c>
      <c r="I106" s="16">
        <v>-12996.338670492172</v>
      </c>
      <c r="J106" s="16">
        <v>74334.982577323914</v>
      </c>
      <c r="K106" s="16">
        <v>6602564.1846456528</v>
      </c>
      <c r="L106" s="16">
        <v>11814836.028223753</v>
      </c>
      <c r="M106" s="16">
        <v>-3533900.5798017979</v>
      </c>
      <c r="N106" s="16">
        <v>714907.98700213432</v>
      </c>
      <c r="O106" s="16">
        <v>4442391.8816189766</v>
      </c>
      <c r="P106" s="16">
        <v>4451620.0191121101</v>
      </c>
      <c r="Q106" s="16">
        <v>4634495.4476010799</v>
      </c>
      <c r="R106" s="16">
        <v>-1052293.701114893</v>
      </c>
      <c r="S106" s="16">
        <v>-2169746.280008316</v>
      </c>
      <c r="T106" s="16">
        <v>1538426.8083841801</v>
      </c>
      <c r="U106" s="16">
        <v>8525693.5083756447</v>
      </c>
      <c r="V106" s="16">
        <v>-4725285.4955124855</v>
      </c>
      <c r="W106" s="16">
        <v>-4494959.3534168005</v>
      </c>
      <c r="X106" s="16">
        <v>595531.28648900986</v>
      </c>
      <c r="Y106" s="16">
        <v>1628406.8390345573</v>
      </c>
      <c r="Z106" s="16">
        <v>-430546.91233563423</v>
      </c>
      <c r="AA106" s="16">
        <v>-3103726.6384158134</v>
      </c>
      <c r="AB106" s="16">
        <v>-1964272.9439942837</v>
      </c>
      <c r="AC106" s="16">
        <v>-316565.38229703903</v>
      </c>
      <c r="AD106" s="16">
        <v>-2476215.5539171696</v>
      </c>
      <c r="AE106" s="16">
        <v>-4406737.8002899885</v>
      </c>
      <c r="AF106" s="16">
        <v>1050103.0646606684</v>
      </c>
    </row>
    <row r="107" spans="2:32" x14ac:dyDescent="0.2">
      <c r="B107" s="172">
        <v>3</v>
      </c>
      <c r="C107" s="13" t="s">
        <v>98</v>
      </c>
      <c r="D107" s="164"/>
      <c r="E107" s="173" t="s">
        <v>35</v>
      </c>
      <c r="F107" s="17">
        <v>22522171.523512058</v>
      </c>
      <c r="G107" s="16">
        <v>0</v>
      </c>
      <c r="H107" s="16">
        <v>-15452.224837303162</v>
      </c>
      <c r="I107" s="16">
        <v>-16960.423009872437</v>
      </c>
      <c r="J107" s="16">
        <v>84488.931196689606</v>
      </c>
      <c r="K107" s="16">
        <v>7095382.4628846645</v>
      </c>
      <c r="L107" s="16">
        <v>12677381.868495703</v>
      </c>
      <c r="M107" s="16">
        <v>-3036193.0047154427</v>
      </c>
      <c r="N107" s="16">
        <v>1315299.2338929176</v>
      </c>
      <c r="O107" s="16">
        <v>4795989.311293602</v>
      </c>
      <c r="P107" s="16">
        <v>5083596.609941721</v>
      </c>
      <c r="Q107" s="16">
        <v>6879968.2892823219</v>
      </c>
      <c r="R107" s="16">
        <v>-43984.316304206848</v>
      </c>
      <c r="S107" s="16">
        <v>-1692967.3751420975</v>
      </c>
      <c r="T107" s="16">
        <v>2212099.3049414158</v>
      </c>
      <c r="U107" s="16">
        <v>9807548.0126063824</v>
      </c>
      <c r="V107" s="16">
        <v>-4299619.6252343655</v>
      </c>
      <c r="W107" s="16">
        <v>-3930120.9463911057</v>
      </c>
      <c r="X107" s="16">
        <v>914385.22471570969</v>
      </c>
      <c r="Y107" s="16">
        <v>1985668.1651275158</v>
      </c>
      <c r="Z107" s="16">
        <v>-183804.65347361565</v>
      </c>
      <c r="AA107" s="16">
        <v>-2377807.3807280064</v>
      </c>
      <c r="AB107" s="16">
        <v>-1541144.4732599258</v>
      </c>
      <c r="AC107" s="16">
        <v>683179.19477629662</v>
      </c>
      <c r="AD107" s="16">
        <v>-2031772.3863072395</v>
      </c>
      <c r="AE107" s="16">
        <v>-3879016.8791713715</v>
      </c>
      <c r="AF107" s="16">
        <v>1482199.9374958277</v>
      </c>
    </row>
    <row r="108" spans="2:32" x14ac:dyDescent="0.2">
      <c r="B108" s="172">
        <v>4</v>
      </c>
      <c r="C108" s="13" t="s">
        <v>99</v>
      </c>
      <c r="D108" s="164"/>
      <c r="E108" s="173" t="s">
        <v>35</v>
      </c>
      <c r="F108" s="17">
        <v>4520642.3432142371</v>
      </c>
      <c r="G108" s="16">
        <v>0</v>
      </c>
      <c r="H108" s="16">
        <v>30840.203407287598</v>
      </c>
      <c r="I108" s="16">
        <v>39334.329247713089</v>
      </c>
      <c r="J108" s="16">
        <v>988931.03186273575</v>
      </c>
      <c r="K108" s="16">
        <v>1493780.4388830662</v>
      </c>
      <c r="L108" s="16">
        <v>1718437.2281711102</v>
      </c>
      <c r="M108" s="16">
        <v>-344818.13126540184</v>
      </c>
      <c r="N108" s="16">
        <v>1944810.6666731834</v>
      </c>
      <c r="O108" s="16">
        <v>1999966.4842133522</v>
      </c>
      <c r="P108" s="16">
        <v>-273661.65102553368</v>
      </c>
      <c r="Q108" s="16">
        <v>-933889.0174946785</v>
      </c>
      <c r="R108" s="16">
        <v>-885519.58459997177</v>
      </c>
      <c r="S108" s="16">
        <v>1092952.5835068226</v>
      </c>
      <c r="T108" s="16">
        <v>539020.50275707245</v>
      </c>
      <c r="U108" s="16">
        <v>442776.42170405388</v>
      </c>
      <c r="V108" s="16">
        <v>32265.235472202301</v>
      </c>
      <c r="W108" s="16">
        <v>-736341.22889590263</v>
      </c>
      <c r="X108" s="16">
        <v>193482.56459617615</v>
      </c>
      <c r="Y108" s="16">
        <v>508473.23864650726</v>
      </c>
      <c r="Z108" s="16">
        <v>319565.09440016747</v>
      </c>
      <c r="AA108" s="16">
        <v>-1428085.2471146584</v>
      </c>
      <c r="AB108" s="16">
        <v>-784220.91474032402</v>
      </c>
      <c r="AC108" s="16">
        <v>-837042.54855394363</v>
      </c>
      <c r="AD108" s="16">
        <v>-408521.64178061485</v>
      </c>
      <c r="AE108" s="16">
        <v>483313.24527275562</v>
      </c>
      <c r="AF108" s="16">
        <v>337733.57331550121</v>
      </c>
    </row>
    <row r="109" spans="2:32" x14ac:dyDescent="0.2">
      <c r="B109" s="172">
        <v>5</v>
      </c>
      <c r="C109" s="13" t="s">
        <v>100</v>
      </c>
      <c r="D109" s="164"/>
      <c r="E109" s="173" t="s">
        <v>35</v>
      </c>
      <c r="F109" s="17"/>
      <c r="G109" s="16" t="s">
        <v>240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2:32" x14ac:dyDescent="0.2">
      <c r="B110" s="172">
        <v>6</v>
      </c>
      <c r="C110" s="13" t="s">
        <v>174</v>
      </c>
      <c r="D110" s="164"/>
      <c r="E110" s="173" t="s">
        <v>35</v>
      </c>
      <c r="F110" s="17"/>
      <c r="G110" s="16" t="s">
        <v>240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2:32" x14ac:dyDescent="0.2">
      <c r="B111" s="161"/>
      <c r="C111" s="165"/>
      <c r="D111" s="165"/>
      <c r="E111" s="161"/>
      <c r="F111" s="126"/>
    </row>
    <row r="112" spans="2:32" ht="15.75" x14ac:dyDescent="0.25">
      <c r="B112" s="166" t="s">
        <v>29</v>
      </c>
      <c r="C112" s="167"/>
      <c r="D112" s="167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</row>
    <row r="113" spans="2:32" ht="15.75" x14ac:dyDescent="0.25">
      <c r="B113" s="168" t="s">
        <v>14</v>
      </c>
      <c r="C113" s="169" t="s">
        <v>13</v>
      </c>
      <c r="D113" s="169"/>
      <c r="E113" s="170" t="s">
        <v>22</v>
      </c>
      <c r="F113" s="170" t="s">
        <v>37</v>
      </c>
      <c r="G113" s="171" t="s">
        <v>103</v>
      </c>
      <c r="H113" s="171" t="s">
        <v>104</v>
      </c>
      <c r="I113" s="171" t="s">
        <v>105</v>
      </c>
      <c r="J113" s="171" t="s">
        <v>106</v>
      </c>
      <c r="K113" s="171" t="s">
        <v>107</v>
      </c>
      <c r="L113" s="171" t="s">
        <v>108</v>
      </c>
      <c r="M113" s="171" t="s">
        <v>109</v>
      </c>
      <c r="N113" s="171" t="s">
        <v>110</v>
      </c>
      <c r="O113" s="171" t="s">
        <v>111</v>
      </c>
      <c r="P113" s="171" t="s">
        <v>112</v>
      </c>
      <c r="Q113" s="171" t="s">
        <v>113</v>
      </c>
      <c r="R113" s="171" t="s">
        <v>114</v>
      </c>
      <c r="S113" s="171" t="s">
        <v>115</v>
      </c>
      <c r="T113" s="171" t="s">
        <v>116</v>
      </c>
      <c r="U113" s="171" t="s">
        <v>117</v>
      </c>
      <c r="V113" s="171" t="s">
        <v>118</v>
      </c>
      <c r="W113" s="171" t="s">
        <v>119</v>
      </c>
      <c r="X113" s="171" t="s">
        <v>120</v>
      </c>
      <c r="Y113" s="171" t="s">
        <v>121</v>
      </c>
      <c r="Z113" s="171" t="s">
        <v>122</v>
      </c>
      <c r="AA113" s="171" t="s">
        <v>123</v>
      </c>
      <c r="AB113" s="171" t="s">
        <v>124</v>
      </c>
      <c r="AC113" s="171" t="s">
        <v>125</v>
      </c>
      <c r="AD113" s="171" t="s">
        <v>126</v>
      </c>
      <c r="AE113" s="171" t="s">
        <v>127</v>
      </c>
      <c r="AF113" s="171" t="s">
        <v>153</v>
      </c>
    </row>
    <row r="114" spans="2:32" x14ac:dyDescent="0.2">
      <c r="B114" s="172">
        <v>1</v>
      </c>
      <c r="C114" s="13" t="s">
        <v>96</v>
      </c>
      <c r="D114" s="164"/>
      <c r="E114" s="173" t="s">
        <v>35</v>
      </c>
      <c r="F114" s="17">
        <v>-261318.49704399754</v>
      </c>
      <c r="G114" s="16">
        <v>0</v>
      </c>
      <c r="H114" s="16">
        <v>-108.64193096011877</v>
      </c>
      <c r="I114" s="16">
        <v>-114.10068499596673</v>
      </c>
      <c r="J114" s="16">
        <v>-239.5471905884333</v>
      </c>
      <c r="K114" s="16">
        <v>-1893.6255177140702</v>
      </c>
      <c r="L114" s="16">
        <v>-138.40795762089874</v>
      </c>
      <c r="M114" s="16">
        <v>-148.0243570111495</v>
      </c>
      <c r="N114" s="16">
        <v>-157.47880209567666</v>
      </c>
      <c r="O114" s="16">
        <v>-166.78427209312326</v>
      </c>
      <c r="P114" s="16">
        <v>-177.91532788447125</v>
      </c>
      <c r="Q114" s="16">
        <v>-189.74991576879984</v>
      </c>
      <c r="R114" s="16">
        <v>-104.41465741409911</v>
      </c>
      <c r="S114" s="16">
        <v>19318.041914375266</v>
      </c>
      <c r="T114" s="16">
        <v>-124671.10015534633</v>
      </c>
      <c r="U114" s="16">
        <v>-241.0042544118478</v>
      </c>
      <c r="V114" s="16">
        <v>518347.16916552093</v>
      </c>
      <c r="W114" s="16">
        <v>-40541.207124088425</v>
      </c>
      <c r="X114" s="16">
        <v>26595.267252743244</v>
      </c>
      <c r="Y114" s="16">
        <v>-301.41456718005929</v>
      </c>
      <c r="Z114" s="16">
        <v>8637.8205253221095</v>
      </c>
      <c r="AA114" s="16">
        <v>-338.56970129872116</v>
      </c>
      <c r="AB114" s="16">
        <v>-316910.50806137547</v>
      </c>
      <c r="AC114" s="16">
        <v>2534.3699178397655</v>
      </c>
      <c r="AD114" s="16">
        <v>-33851.43356807204</v>
      </c>
      <c r="AE114" s="16">
        <v>524789.40478986502</v>
      </c>
      <c r="AF114" s="16">
        <v>-1968543.7425894439</v>
      </c>
    </row>
    <row r="115" spans="2:32" x14ac:dyDescent="0.2">
      <c r="B115" s="172">
        <v>2</v>
      </c>
      <c r="C115" s="13" t="s">
        <v>97</v>
      </c>
      <c r="D115" s="164"/>
      <c r="E115" s="173" t="s">
        <v>35</v>
      </c>
      <c r="F115" s="17">
        <v>-261318.49704399754</v>
      </c>
      <c r="G115" s="16">
        <v>0</v>
      </c>
      <c r="H115" s="16">
        <v>-108.64193096011877</v>
      </c>
      <c r="I115" s="16">
        <v>-114.10068499596673</v>
      </c>
      <c r="J115" s="16">
        <v>-239.5471905884333</v>
      </c>
      <c r="K115" s="16">
        <v>-1893.6255177140702</v>
      </c>
      <c r="L115" s="16">
        <v>-138.40795762089874</v>
      </c>
      <c r="M115" s="16">
        <v>-148.0243570111495</v>
      </c>
      <c r="N115" s="16">
        <v>-157.47880209567666</v>
      </c>
      <c r="O115" s="16">
        <v>-166.78427209312326</v>
      </c>
      <c r="P115" s="16">
        <v>-177.91532788447125</v>
      </c>
      <c r="Q115" s="16">
        <v>-189.74991576879984</v>
      </c>
      <c r="R115" s="16">
        <v>-104.41465741409911</v>
      </c>
      <c r="S115" s="16">
        <v>19318.041914375266</v>
      </c>
      <c r="T115" s="16">
        <v>-124671.10015534633</v>
      </c>
      <c r="U115" s="16">
        <v>-241.0042544118478</v>
      </c>
      <c r="V115" s="16">
        <v>518347.16916552093</v>
      </c>
      <c r="W115" s="16">
        <v>-40541.207124088425</v>
      </c>
      <c r="X115" s="16">
        <v>26595.267252743244</v>
      </c>
      <c r="Y115" s="16">
        <v>-301.41456718005929</v>
      </c>
      <c r="Z115" s="16">
        <v>8637.8205253221095</v>
      </c>
      <c r="AA115" s="16">
        <v>-338.56970129872116</v>
      </c>
      <c r="AB115" s="16">
        <v>-316910.50806137547</v>
      </c>
      <c r="AC115" s="16">
        <v>2534.3699178397655</v>
      </c>
      <c r="AD115" s="16">
        <v>-33851.43356807204</v>
      </c>
      <c r="AE115" s="16">
        <v>524789.40478986502</v>
      </c>
      <c r="AF115" s="16">
        <v>-1968543.7425894439</v>
      </c>
    </row>
    <row r="116" spans="2:32" x14ac:dyDescent="0.2">
      <c r="B116" s="172">
        <v>3</v>
      </c>
      <c r="C116" s="13" t="s">
        <v>98</v>
      </c>
      <c r="D116" s="164"/>
      <c r="E116" s="173" t="s">
        <v>35</v>
      </c>
      <c r="F116" s="17">
        <v>-245465.11832790091</v>
      </c>
      <c r="G116" s="16">
        <v>0</v>
      </c>
      <c r="H116" s="16">
        <v>273.07647996384185</v>
      </c>
      <c r="I116" s="16">
        <v>286.32559496170143</v>
      </c>
      <c r="J116" s="16">
        <v>187.49506195960566</v>
      </c>
      <c r="K116" s="16">
        <v>-1443.4688660639804</v>
      </c>
      <c r="L116" s="16">
        <v>343.97935065050319</v>
      </c>
      <c r="M116" s="16">
        <v>364.34390739315995</v>
      </c>
      <c r="N116" s="16">
        <v>388.54193456257349</v>
      </c>
      <c r="O116" s="16">
        <v>412.16133600224885</v>
      </c>
      <c r="P116" s="16">
        <v>440.06245961137643</v>
      </c>
      <c r="Q116" s="16">
        <v>478.497902477975</v>
      </c>
      <c r="R116" s="16">
        <v>587.85352898083192</v>
      </c>
      <c r="S116" s="16">
        <v>20800.411018914776</v>
      </c>
      <c r="T116" s="16">
        <v>-143427.37298222654</v>
      </c>
      <c r="U116" s="16">
        <v>602.12409096269403</v>
      </c>
      <c r="V116" s="16">
        <v>518889.36061225738</v>
      </c>
      <c r="W116" s="16">
        <v>-87698.28288395796</v>
      </c>
      <c r="X116" s="16">
        <v>27876.836740933359</v>
      </c>
      <c r="Y116" s="16">
        <v>759.72723923894637</v>
      </c>
      <c r="Z116" s="16">
        <v>10750.487734571099</v>
      </c>
      <c r="AA116" s="16">
        <v>855.2856844578173</v>
      </c>
      <c r="AB116" s="16">
        <v>-153622.37324047834</v>
      </c>
      <c r="AC116" s="16">
        <v>696.99636637419462</v>
      </c>
      <c r="AD116" s="16">
        <v>-26028.577762994915</v>
      </c>
      <c r="AE116" s="16">
        <v>501192.41497390345</v>
      </c>
      <c r="AF116" s="16">
        <v>-1999472.0723771993</v>
      </c>
    </row>
    <row r="117" spans="2:32" x14ac:dyDescent="0.2">
      <c r="B117" s="172">
        <v>4</v>
      </c>
      <c r="C117" s="13" t="s">
        <v>99</v>
      </c>
      <c r="D117" s="164"/>
      <c r="E117" s="173" t="s">
        <v>35</v>
      </c>
      <c r="F117" s="17">
        <v>76338.606401512428</v>
      </c>
      <c r="G117" s="16">
        <v>0</v>
      </c>
      <c r="H117" s="16">
        <v>-321.20439487940166</v>
      </c>
      <c r="I117" s="16">
        <v>-336.81505890682456</v>
      </c>
      <c r="J117" s="16">
        <v>-358.96765531273559</v>
      </c>
      <c r="K117" s="16">
        <v>-1492.5471530277282</v>
      </c>
      <c r="L117" s="16">
        <v>-404.80372382640144</v>
      </c>
      <c r="M117" s="16">
        <v>-429.86191110205482</v>
      </c>
      <c r="N117" s="16">
        <v>-457.6859727603935</v>
      </c>
      <c r="O117" s="16">
        <v>-485.33465064240363</v>
      </c>
      <c r="P117" s="16">
        <v>-518.15835106537975</v>
      </c>
      <c r="Q117" s="16">
        <v>-562.0433867360116</v>
      </c>
      <c r="R117" s="16">
        <v>114.00243012383544</v>
      </c>
      <c r="S117" s="16">
        <v>-12358.370952447876</v>
      </c>
      <c r="T117" s="16">
        <v>-2384.9801325359149</v>
      </c>
      <c r="U117" s="16">
        <v>-707.13349378923886</v>
      </c>
      <c r="V117" s="16">
        <v>93330.856694997288</v>
      </c>
      <c r="W117" s="16">
        <v>-697.15981569699943</v>
      </c>
      <c r="X117" s="16">
        <v>9162.052127070725</v>
      </c>
      <c r="Y117" s="16">
        <v>-891.90364668263283</v>
      </c>
      <c r="Z117" s="16">
        <v>-833.54451535269618</v>
      </c>
      <c r="AA117" s="16">
        <v>-1004.8764533032959</v>
      </c>
      <c r="AB117" s="16">
        <v>26247.078533604741</v>
      </c>
      <c r="AC117" s="16">
        <v>14957.077976070344</v>
      </c>
      <c r="AD117" s="16">
        <v>-1347.6277605439536</v>
      </c>
      <c r="AE117" s="16">
        <v>312345.34483974427</v>
      </c>
      <c r="AF117" s="16">
        <v>-167837.41854191571</v>
      </c>
    </row>
    <row r="118" spans="2:32" x14ac:dyDescent="0.2">
      <c r="B118" s="172">
        <v>5</v>
      </c>
      <c r="C118" s="13" t="s">
        <v>100</v>
      </c>
      <c r="D118" s="164"/>
      <c r="E118" s="173" t="s">
        <v>35</v>
      </c>
      <c r="F118" s="17"/>
      <c r="G118" s="16" t="s">
        <v>240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2:32" x14ac:dyDescent="0.2">
      <c r="B119" s="172">
        <v>6</v>
      </c>
      <c r="C119" s="13" t="s">
        <v>174</v>
      </c>
      <c r="D119" s="164"/>
      <c r="E119" s="173" t="s">
        <v>35</v>
      </c>
      <c r="F119" s="17"/>
      <c r="G119" s="16" t="s">
        <v>240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2:32" x14ac:dyDescent="0.2">
      <c r="B120" s="161"/>
      <c r="C120" s="165"/>
      <c r="D120" s="165"/>
      <c r="E120" s="161"/>
      <c r="F120" s="126"/>
    </row>
    <row r="121" spans="2:32" ht="15.75" x14ac:dyDescent="0.25">
      <c r="B121" s="166" t="s">
        <v>78</v>
      </c>
      <c r="C121" s="167"/>
      <c r="D121" s="167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</row>
    <row r="122" spans="2:32" ht="15.75" x14ac:dyDescent="0.25">
      <c r="B122" s="168" t="s">
        <v>14</v>
      </c>
      <c r="C122" s="169" t="s">
        <v>13</v>
      </c>
      <c r="D122" s="169"/>
      <c r="E122" s="170" t="s">
        <v>22</v>
      </c>
      <c r="F122" s="170" t="s">
        <v>37</v>
      </c>
      <c r="G122" s="171" t="s">
        <v>103</v>
      </c>
      <c r="H122" s="171" t="s">
        <v>104</v>
      </c>
      <c r="I122" s="171" t="s">
        <v>105</v>
      </c>
      <c r="J122" s="171" t="s">
        <v>106</v>
      </c>
      <c r="K122" s="171" t="s">
        <v>107</v>
      </c>
      <c r="L122" s="171" t="s">
        <v>108</v>
      </c>
      <c r="M122" s="171" t="s">
        <v>109</v>
      </c>
      <c r="N122" s="171" t="s">
        <v>110</v>
      </c>
      <c r="O122" s="171" t="s">
        <v>111</v>
      </c>
      <c r="P122" s="171" t="s">
        <v>112</v>
      </c>
      <c r="Q122" s="171" t="s">
        <v>113</v>
      </c>
      <c r="R122" s="171" t="s">
        <v>114</v>
      </c>
      <c r="S122" s="171" t="s">
        <v>115</v>
      </c>
      <c r="T122" s="171" t="s">
        <v>116</v>
      </c>
      <c r="U122" s="171" t="s">
        <v>117</v>
      </c>
      <c r="V122" s="171" t="s">
        <v>118</v>
      </c>
      <c r="W122" s="171" t="s">
        <v>119</v>
      </c>
      <c r="X122" s="171" t="s">
        <v>120</v>
      </c>
      <c r="Y122" s="171" t="s">
        <v>121</v>
      </c>
      <c r="Z122" s="171" t="s">
        <v>122</v>
      </c>
      <c r="AA122" s="171" t="s">
        <v>123</v>
      </c>
      <c r="AB122" s="171" t="s">
        <v>124</v>
      </c>
      <c r="AC122" s="171" t="s">
        <v>125</v>
      </c>
      <c r="AD122" s="171" t="s">
        <v>126</v>
      </c>
      <c r="AE122" s="171" t="s">
        <v>127</v>
      </c>
      <c r="AF122" s="171" t="s">
        <v>153</v>
      </c>
    </row>
    <row r="123" spans="2:32" x14ac:dyDescent="0.2">
      <c r="B123" s="172">
        <v>1</v>
      </c>
      <c r="C123" s="13" t="s">
        <v>96</v>
      </c>
      <c r="D123" s="164"/>
      <c r="E123" s="173" t="s">
        <v>35</v>
      </c>
      <c r="F123" s="17">
        <v>148488626.01182878</v>
      </c>
      <c r="G123" s="16">
        <v>0</v>
      </c>
      <c r="H123" s="16">
        <v>-3103.9079592227936</v>
      </c>
      <c r="I123" s="16">
        <v>-7313.9266443252563</v>
      </c>
      <c r="J123" s="16">
        <v>-699142.08598995209</v>
      </c>
      <c r="K123" s="16">
        <v>-40034737.002990603</v>
      </c>
      <c r="L123" s="16">
        <v>-1404484.3162448406</v>
      </c>
      <c r="M123" s="16">
        <v>418568572.63857651</v>
      </c>
      <c r="N123" s="16">
        <v>-129627974.48322296</v>
      </c>
      <c r="O123" s="16">
        <v>-60337600.331071854</v>
      </c>
      <c r="P123" s="16">
        <v>-25769175.666791439</v>
      </c>
      <c r="Q123" s="16">
        <v>99236997.012582779</v>
      </c>
      <c r="R123" s="16">
        <v>52310203.879841089</v>
      </c>
      <c r="S123" s="16">
        <v>77579823.888033867</v>
      </c>
      <c r="T123" s="16">
        <v>-6070994.0825271606</v>
      </c>
      <c r="U123" s="16">
        <v>-225685347.313447</v>
      </c>
      <c r="V123" s="16">
        <v>139029209.09764576</v>
      </c>
      <c r="W123" s="16">
        <v>40599564.544370174</v>
      </c>
      <c r="X123" s="16">
        <v>-131086615.51744747</v>
      </c>
      <c r="Y123" s="16">
        <v>-49613704.252853155</v>
      </c>
      <c r="Z123" s="16">
        <v>18431556.923700452</v>
      </c>
      <c r="AA123" s="16">
        <v>40184098.00088954</v>
      </c>
      <c r="AB123" s="16">
        <v>-6799578.9793949127</v>
      </c>
      <c r="AC123" s="16">
        <v>-19183506.60098362</v>
      </c>
      <c r="AD123" s="16">
        <v>-6933579.3046257496</v>
      </c>
      <c r="AE123" s="16">
        <v>5418264.2202427387</v>
      </c>
      <c r="AF123" s="16">
        <v>-14172002.702852607</v>
      </c>
    </row>
    <row r="124" spans="2:32" x14ac:dyDescent="0.2">
      <c r="B124" s="172">
        <v>2</v>
      </c>
      <c r="C124" s="13" t="s">
        <v>97</v>
      </c>
      <c r="D124" s="164"/>
      <c r="E124" s="173" t="s">
        <v>35</v>
      </c>
      <c r="F124" s="17">
        <v>148488626.01182878</v>
      </c>
      <c r="G124" s="16">
        <v>0</v>
      </c>
      <c r="H124" s="16">
        <v>-3103.9079592227936</v>
      </c>
      <c r="I124" s="16">
        <v>-7313.9266443252563</v>
      </c>
      <c r="J124" s="16">
        <v>-699142.08598995209</v>
      </c>
      <c r="K124" s="16">
        <v>-40034737.002990603</v>
      </c>
      <c r="L124" s="16">
        <v>-1404484.3162448406</v>
      </c>
      <c r="M124" s="16">
        <v>418568572.63857651</v>
      </c>
      <c r="N124" s="16">
        <v>-129627974.48322296</v>
      </c>
      <c r="O124" s="16">
        <v>-60337600.331071854</v>
      </c>
      <c r="P124" s="16">
        <v>-25769175.666791439</v>
      </c>
      <c r="Q124" s="16">
        <v>99236997.012582779</v>
      </c>
      <c r="R124" s="16">
        <v>52310203.879841089</v>
      </c>
      <c r="S124" s="16">
        <v>77579823.888033867</v>
      </c>
      <c r="T124" s="16">
        <v>-6070994.0825271606</v>
      </c>
      <c r="U124" s="16">
        <v>-225685347.313447</v>
      </c>
      <c r="V124" s="16">
        <v>139029209.09764576</v>
      </c>
      <c r="W124" s="16">
        <v>40599564.544370174</v>
      </c>
      <c r="X124" s="16">
        <v>-131086615.51744747</v>
      </c>
      <c r="Y124" s="16">
        <v>-49613704.252853155</v>
      </c>
      <c r="Z124" s="16">
        <v>18431556.923700452</v>
      </c>
      <c r="AA124" s="16">
        <v>40184098.00088954</v>
      </c>
      <c r="AB124" s="16">
        <v>-6799578.9793949127</v>
      </c>
      <c r="AC124" s="16">
        <v>-19183506.60098362</v>
      </c>
      <c r="AD124" s="16">
        <v>-6933579.3046257496</v>
      </c>
      <c r="AE124" s="16">
        <v>5418264.2202427387</v>
      </c>
      <c r="AF124" s="16">
        <v>-14172002.702852607</v>
      </c>
    </row>
    <row r="125" spans="2:32" x14ac:dyDescent="0.2">
      <c r="B125" s="172">
        <v>3</v>
      </c>
      <c r="C125" s="13" t="s">
        <v>98</v>
      </c>
      <c r="D125" s="164"/>
      <c r="E125" s="173" t="s">
        <v>35</v>
      </c>
      <c r="F125" s="17">
        <v>155321197.35729158</v>
      </c>
      <c r="G125" s="16">
        <v>0</v>
      </c>
      <c r="H125" s="16">
        <v>5839.0851361751556</v>
      </c>
      <c r="I125" s="16">
        <v>23771.111805438995</v>
      </c>
      <c r="J125" s="16">
        <v>-866990.82883024216</v>
      </c>
      <c r="K125" s="16">
        <v>-43653236.697245121</v>
      </c>
      <c r="L125" s="16">
        <v>-1347648.6261786222</v>
      </c>
      <c r="M125" s="16">
        <v>428581523.76039076</v>
      </c>
      <c r="N125" s="16">
        <v>-129169052.76453352</v>
      </c>
      <c r="O125" s="16">
        <v>-58231693.209733963</v>
      </c>
      <c r="P125" s="16">
        <v>-20514257.384225368</v>
      </c>
      <c r="Q125" s="16">
        <v>97070472.923323631</v>
      </c>
      <c r="R125" s="16">
        <v>47252404.388724327</v>
      </c>
      <c r="S125" s="16">
        <v>84940762.540673256</v>
      </c>
      <c r="T125" s="16">
        <v>-4007652.8753528595</v>
      </c>
      <c r="U125" s="16">
        <v>-233181648.30796814</v>
      </c>
      <c r="V125" s="16">
        <v>139190280.30126953</v>
      </c>
      <c r="W125" s="16">
        <v>40800370.048390865</v>
      </c>
      <c r="X125" s="16">
        <v>-129650598.62578869</v>
      </c>
      <c r="Y125" s="16">
        <v>-50629204.968609333</v>
      </c>
      <c r="Z125" s="16">
        <v>19549803.908105016</v>
      </c>
      <c r="AA125" s="16">
        <v>37652254.554423094</v>
      </c>
      <c r="AB125" s="16">
        <v>-4000885.2100048065</v>
      </c>
      <c r="AC125" s="16">
        <v>-21321320.701438427</v>
      </c>
      <c r="AD125" s="16">
        <v>-4801186.0673017502</v>
      </c>
      <c r="AE125" s="16">
        <v>5920086.5398790836</v>
      </c>
      <c r="AF125" s="16">
        <v>-13906191.18809557</v>
      </c>
    </row>
    <row r="126" spans="2:32" x14ac:dyDescent="0.2">
      <c r="B126" s="172">
        <v>4</v>
      </c>
      <c r="C126" s="13" t="s">
        <v>99</v>
      </c>
      <c r="D126" s="164"/>
      <c r="E126" s="173" t="s">
        <v>35</v>
      </c>
      <c r="F126" s="17">
        <v>31922550.992488924</v>
      </c>
      <c r="G126" s="16">
        <v>0</v>
      </c>
      <c r="H126" s="16">
        <v>-6829.8972380161285</v>
      </c>
      <c r="I126" s="16">
        <v>-31239.188346385956</v>
      </c>
      <c r="J126" s="16">
        <v>9706656.4259152412</v>
      </c>
      <c r="K126" s="16">
        <v>-1154037.4684221745</v>
      </c>
      <c r="L126" s="16">
        <v>8088.0287647247314</v>
      </c>
      <c r="M126" s="16">
        <v>54792106.393920422</v>
      </c>
      <c r="N126" s="16">
        <v>-55139219.480046988</v>
      </c>
      <c r="O126" s="16">
        <v>-376608.15287685394</v>
      </c>
      <c r="P126" s="16">
        <v>47942189.08501339</v>
      </c>
      <c r="Q126" s="16">
        <v>29424688.055433273</v>
      </c>
      <c r="R126" s="16">
        <v>3905763.686650753</v>
      </c>
      <c r="S126" s="16">
        <v>-53049963.469387054</v>
      </c>
      <c r="T126" s="16">
        <v>13306828.557784081</v>
      </c>
      <c r="U126" s="16">
        <v>7790249.9717035294</v>
      </c>
      <c r="V126" s="16">
        <v>-5551396.4250068665</v>
      </c>
      <c r="W126" s="16">
        <v>12348940.259151936</v>
      </c>
      <c r="X126" s="16">
        <v>-17537541.520158768</v>
      </c>
      <c r="Y126" s="16">
        <v>-12004893.639997721</v>
      </c>
      <c r="Z126" s="16">
        <v>-1033700.7921570539</v>
      </c>
      <c r="AA126" s="16">
        <v>26231406.369038105</v>
      </c>
      <c r="AB126" s="16">
        <v>-8631316.8098745346</v>
      </c>
      <c r="AC126" s="16">
        <v>-661464.94319868088</v>
      </c>
      <c r="AD126" s="16">
        <v>-7087970.1113027334</v>
      </c>
      <c r="AE126" s="16">
        <v>-2410080.4899806976</v>
      </c>
      <c r="AF126" s="16">
        <v>266694.8006067276</v>
      </c>
    </row>
    <row r="127" spans="2:32" x14ac:dyDescent="0.2">
      <c r="B127" s="172">
        <v>5</v>
      </c>
      <c r="C127" s="13" t="s">
        <v>100</v>
      </c>
      <c r="D127" s="164"/>
      <c r="E127" s="173" t="s">
        <v>35</v>
      </c>
      <c r="F127" s="17"/>
      <c r="G127" s="16" t="s">
        <v>240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2:32" x14ac:dyDescent="0.2">
      <c r="B128" s="172">
        <v>6</v>
      </c>
      <c r="C128" s="13" t="s">
        <v>174</v>
      </c>
      <c r="D128" s="164"/>
      <c r="E128" s="173" t="s">
        <v>35</v>
      </c>
      <c r="F128" s="17"/>
      <c r="G128" s="16" t="s">
        <v>240</v>
      </c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2:32" x14ac:dyDescent="0.2">
      <c r="F129" s="144"/>
    </row>
    <row r="130" spans="2:32" ht="15.75" x14ac:dyDescent="0.25">
      <c r="B130" s="57" t="s">
        <v>191</v>
      </c>
      <c r="C130" s="57"/>
      <c r="D130" s="57"/>
      <c r="E130" s="66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</row>
    <row r="131" spans="2:32" ht="15.75" x14ac:dyDescent="0.25">
      <c r="B131" s="58" t="s">
        <v>14</v>
      </c>
      <c r="C131" s="58" t="s">
        <v>13</v>
      </c>
      <c r="D131" s="58"/>
      <c r="E131" s="62" t="s">
        <v>7</v>
      </c>
      <c r="F131" s="62" t="s">
        <v>37</v>
      </c>
      <c r="G131" s="171" t="s">
        <v>103</v>
      </c>
      <c r="H131" s="171" t="s">
        <v>104</v>
      </c>
      <c r="I131" s="171" t="s">
        <v>105</v>
      </c>
      <c r="J131" s="171" t="s">
        <v>106</v>
      </c>
      <c r="K131" s="171" t="s">
        <v>107</v>
      </c>
      <c r="L131" s="171" t="s">
        <v>108</v>
      </c>
      <c r="M131" s="171" t="s">
        <v>109</v>
      </c>
      <c r="N131" s="171" t="s">
        <v>110</v>
      </c>
      <c r="O131" s="171" t="s">
        <v>111</v>
      </c>
      <c r="P131" s="171" t="s">
        <v>112</v>
      </c>
      <c r="Q131" s="171" t="s">
        <v>113</v>
      </c>
      <c r="R131" s="171" t="s">
        <v>114</v>
      </c>
      <c r="S131" s="171" t="s">
        <v>115</v>
      </c>
      <c r="T131" s="171" t="s">
        <v>116</v>
      </c>
      <c r="U131" s="171" t="s">
        <v>117</v>
      </c>
      <c r="V131" s="171" t="s">
        <v>118</v>
      </c>
      <c r="W131" s="171" t="s">
        <v>119</v>
      </c>
      <c r="X131" s="171" t="s">
        <v>120</v>
      </c>
      <c r="Y131" s="171" t="s">
        <v>121</v>
      </c>
      <c r="Z131" s="171" t="s">
        <v>122</v>
      </c>
      <c r="AA131" s="171" t="s">
        <v>123</v>
      </c>
      <c r="AB131" s="171" t="s">
        <v>124</v>
      </c>
      <c r="AC131" s="171" t="s">
        <v>125</v>
      </c>
      <c r="AD131" s="171" t="s">
        <v>126</v>
      </c>
      <c r="AE131" s="171" t="s">
        <v>127</v>
      </c>
      <c r="AF131" s="171" t="s">
        <v>153</v>
      </c>
    </row>
    <row r="132" spans="2:32" x14ac:dyDescent="0.2">
      <c r="B132" s="172">
        <v>1</v>
      </c>
      <c r="C132" s="115" t="s">
        <v>96</v>
      </c>
      <c r="D132" s="61"/>
      <c r="E132" s="67" t="s">
        <v>35</v>
      </c>
      <c r="F132" s="17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</row>
    <row r="133" spans="2:32" x14ac:dyDescent="0.2">
      <c r="B133" s="172">
        <v>2</v>
      </c>
      <c r="C133" s="115" t="s">
        <v>97</v>
      </c>
      <c r="D133" s="61"/>
      <c r="E133" s="67" t="s">
        <v>35</v>
      </c>
      <c r="F133" s="17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</row>
    <row r="134" spans="2:32" x14ac:dyDescent="0.2">
      <c r="B134" s="172">
        <v>3</v>
      </c>
      <c r="C134" s="115" t="s">
        <v>98</v>
      </c>
      <c r="D134" s="61"/>
      <c r="E134" s="67" t="s">
        <v>35</v>
      </c>
      <c r="F134" s="17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</row>
    <row r="135" spans="2:32" x14ac:dyDescent="0.2">
      <c r="B135" s="172">
        <v>4</v>
      </c>
      <c r="C135" s="115" t="s">
        <v>99</v>
      </c>
      <c r="D135" s="61"/>
      <c r="E135" s="67" t="s">
        <v>35</v>
      </c>
      <c r="F135" s="17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</row>
    <row r="136" spans="2:32" x14ac:dyDescent="0.2">
      <c r="B136" s="172">
        <v>5</v>
      </c>
      <c r="C136" s="115" t="s">
        <v>100</v>
      </c>
      <c r="D136" s="61"/>
      <c r="E136" s="67" t="s">
        <v>35</v>
      </c>
      <c r="F136" s="17"/>
      <c r="G136" s="16" t="s">
        <v>240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2:32" x14ac:dyDescent="0.2">
      <c r="B137" s="172">
        <v>6</v>
      </c>
      <c r="C137" s="115" t="s">
        <v>174</v>
      </c>
      <c r="D137" s="61"/>
      <c r="E137" s="67" t="s">
        <v>35</v>
      </c>
      <c r="F137" s="17"/>
      <c r="G137" s="16" t="s">
        <v>240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2:32" x14ac:dyDescent="0.2">
      <c r="B138" s="161"/>
      <c r="C138" s="165"/>
      <c r="D138" s="165"/>
      <c r="E138" s="161"/>
      <c r="F138" s="126"/>
      <c r="H138" s="126"/>
      <c r="I138" s="126"/>
    </row>
    <row r="139" spans="2:32" ht="15.75" x14ac:dyDescent="0.25">
      <c r="B139" s="57" t="s">
        <v>204</v>
      </c>
      <c r="C139" s="57"/>
      <c r="D139" s="57"/>
      <c r="E139" s="66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</row>
    <row r="140" spans="2:32" ht="15.75" x14ac:dyDescent="0.25">
      <c r="B140" s="58" t="s">
        <v>14</v>
      </c>
      <c r="C140" s="58" t="s">
        <v>13</v>
      </c>
      <c r="D140" s="58"/>
      <c r="E140" s="62" t="s">
        <v>7</v>
      </c>
      <c r="F140" s="62" t="s">
        <v>37</v>
      </c>
      <c r="G140" s="171" t="s">
        <v>103</v>
      </c>
      <c r="H140" s="171" t="s">
        <v>104</v>
      </c>
      <c r="I140" s="171" t="s">
        <v>105</v>
      </c>
      <c r="J140" s="171" t="s">
        <v>106</v>
      </c>
      <c r="K140" s="171" t="s">
        <v>107</v>
      </c>
      <c r="L140" s="171" t="s">
        <v>108</v>
      </c>
      <c r="M140" s="171" t="s">
        <v>109</v>
      </c>
      <c r="N140" s="171" t="s">
        <v>110</v>
      </c>
      <c r="O140" s="171" t="s">
        <v>111</v>
      </c>
      <c r="P140" s="171" t="s">
        <v>112</v>
      </c>
      <c r="Q140" s="171" t="s">
        <v>113</v>
      </c>
      <c r="R140" s="171" t="s">
        <v>114</v>
      </c>
      <c r="S140" s="171" t="s">
        <v>115</v>
      </c>
      <c r="T140" s="171" t="s">
        <v>116</v>
      </c>
      <c r="U140" s="171" t="s">
        <v>117</v>
      </c>
      <c r="V140" s="171" t="s">
        <v>118</v>
      </c>
      <c r="W140" s="171" t="s">
        <v>119</v>
      </c>
      <c r="X140" s="171" t="s">
        <v>120</v>
      </c>
      <c r="Y140" s="171" t="s">
        <v>121</v>
      </c>
      <c r="Z140" s="171" t="s">
        <v>122</v>
      </c>
      <c r="AA140" s="171" t="s">
        <v>123</v>
      </c>
      <c r="AB140" s="171" t="s">
        <v>124</v>
      </c>
      <c r="AC140" s="171" t="s">
        <v>125</v>
      </c>
      <c r="AD140" s="171" t="s">
        <v>126</v>
      </c>
      <c r="AE140" s="171" t="s">
        <v>127</v>
      </c>
      <c r="AF140" s="171" t="s">
        <v>153</v>
      </c>
    </row>
    <row r="141" spans="2:32" x14ac:dyDescent="0.2">
      <c r="B141" s="172">
        <v>1</v>
      </c>
      <c r="C141" s="115" t="s">
        <v>96</v>
      </c>
      <c r="D141" s="61"/>
      <c r="E141" s="67" t="s">
        <v>35</v>
      </c>
      <c r="F141" s="17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</row>
    <row r="142" spans="2:32" x14ac:dyDescent="0.2">
      <c r="B142" s="172">
        <v>2</v>
      </c>
      <c r="C142" s="115" t="s">
        <v>97</v>
      </c>
      <c r="D142" s="61"/>
      <c r="E142" s="67" t="s">
        <v>35</v>
      </c>
      <c r="F142" s="17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</row>
    <row r="143" spans="2:32" x14ac:dyDescent="0.2">
      <c r="B143" s="172">
        <v>3</v>
      </c>
      <c r="C143" s="115" t="s">
        <v>98</v>
      </c>
      <c r="D143" s="61"/>
      <c r="E143" s="67" t="s">
        <v>35</v>
      </c>
      <c r="F143" s="17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</row>
    <row r="144" spans="2:32" x14ac:dyDescent="0.2">
      <c r="B144" s="172">
        <v>4</v>
      </c>
      <c r="C144" s="115" t="s">
        <v>99</v>
      </c>
      <c r="D144" s="61"/>
      <c r="E144" s="67" t="s">
        <v>35</v>
      </c>
      <c r="F144" s="17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</row>
    <row r="145" spans="2:32" x14ac:dyDescent="0.2">
      <c r="B145" s="172">
        <v>5</v>
      </c>
      <c r="C145" s="115" t="s">
        <v>100</v>
      </c>
      <c r="D145" s="61"/>
      <c r="E145" s="67" t="s">
        <v>35</v>
      </c>
      <c r="F145" s="17"/>
      <c r="G145" s="16" t="s">
        <v>240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</row>
    <row r="146" spans="2:32" x14ac:dyDescent="0.2">
      <c r="B146" s="172">
        <v>6</v>
      </c>
      <c r="C146" s="115" t="s">
        <v>174</v>
      </c>
      <c r="D146" s="61"/>
      <c r="E146" s="67" t="s">
        <v>35</v>
      </c>
      <c r="F146" s="17"/>
      <c r="G146" s="16" t="s">
        <v>240</v>
      </c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/>
  </sheetPr>
  <dimension ref="A1:AF147"/>
  <sheetViews>
    <sheetView showGridLines="0" tabSelected="1" zoomScale="85" zoomScaleNormal="85" workbookViewId="0">
      <selection activeCell="L7" sqref="L7"/>
    </sheetView>
  </sheetViews>
  <sheetFormatPr defaultColWidth="9.21875" defaultRowHeight="15" x14ac:dyDescent="0.2"/>
  <cols>
    <col min="1" max="1" width="8.5546875" style="16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3.88671875" style="90" bestFit="1" customWidth="1"/>
    <col min="7" max="7" width="14.44140625" style="161" customWidth="1"/>
    <col min="8" max="32" width="13.6640625" style="161" customWidth="1"/>
    <col min="33" max="16384" width="9.21875" style="161"/>
  </cols>
  <sheetData>
    <row r="1" spans="2:32" ht="18" x14ac:dyDescent="0.25">
      <c r="B1" s="2" t="s">
        <v>83</v>
      </c>
      <c r="C1" s="165"/>
      <c r="D1" s="165"/>
      <c r="E1" s="161"/>
      <c r="G1" s="180"/>
      <c r="H1" s="181"/>
      <c r="I1" s="160"/>
      <c r="J1" s="160"/>
      <c r="K1" s="160"/>
      <c r="L1" s="160"/>
      <c r="M1" s="160"/>
      <c r="N1" s="160"/>
    </row>
    <row r="2" spans="2:32" x14ac:dyDescent="0.2">
      <c r="B2" s="3" t="s">
        <v>48</v>
      </c>
      <c r="C2" s="165"/>
      <c r="D2" s="165"/>
      <c r="E2" s="161"/>
      <c r="F2" s="152"/>
      <c r="G2" s="152"/>
      <c r="H2" s="181"/>
      <c r="I2" s="181"/>
      <c r="J2" s="181"/>
      <c r="K2" s="181"/>
      <c r="L2" s="181"/>
      <c r="M2" s="181"/>
      <c r="N2" s="181"/>
      <c r="P2" s="132"/>
    </row>
    <row r="3" spans="2:32" ht="15.75" x14ac:dyDescent="0.25">
      <c r="B3" s="161"/>
      <c r="C3" s="165"/>
      <c r="D3" s="165"/>
      <c r="E3" s="161"/>
      <c r="F3" s="150"/>
      <c r="I3" s="14"/>
      <c r="J3" s="14"/>
      <c r="K3" s="14"/>
      <c r="L3" s="14"/>
      <c r="M3" s="14"/>
      <c r="N3" s="14"/>
      <c r="P3" s="132"/>
    </row>
    <row r="4" spans="2:32" ht="15.75" x14ac:dyDescent="0.25">
      <c r="B4" s="161"/>
      <c r="C4" s="165"/>
      <c r="D4" s="165"/>
      <c r="E4" s="161"/>
      <c r="F4" s="150"/>
      <c r="I4" s="14"/>
      <c r="J4" s="14"/>
      <c r="K4" s="14"/>
      <c r="L4" s="14"/>
      <c r="M4" s="14"/>
      <c r="N4" s="14"/>
    </row>
    <row r="5" spans="2:32" ht="21" x14ac:dyDescent="0.35">
      <c r="B5" s="162" t="s">
        <v>71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</row>
    <row r="6" spans="2:32" x14ac:dyDescent="0.2">
      <c r="B6" s="161"/>
      <c r="C6" s="165"/>
      <c r="D6" s="165"/>
      <c r="E6" s="161"/>
      <c r="F6" s="161"/>
      <c r="I6" s="14"/>
      <c r="J6" s="14"/>
    </row>
    <row r="7" spans="2:32" ht="15.75" x14ac:dyDescent="0.25">
      <c r="B7" s="58" t="s">
        <v>5</v>
      </c>
      <c r="C7" s="58"/>
      <c r="D7" s="58"/>
      <c r="E7" s="62" t="s">
        <v>7</v>
      </c>
      <c r="F7" s="62" t="s">
        <v>93</v>
      </c>
      <c r="G7" s="62" t="s">
        <v>151</v>
      </c>
      <c r="H7" s="62" t="s">
        <v>152</v>
      </c>
      <c r="I7" s="62" t="s">
        <v>202</v>
      </c>
      <c r="J7" s="14"/>
      <c r="K7" s="126"/>
      <c r="L7" s="126"/>
    </row>
    <row r="8" spans="2:32" x14ac:dyDescent="0.2">
      <c r="B8" s="59" t="s">
        <v>70</v>
      </c>
      <c r="C8" s="61"/>
      <c r="D8" s="61"/>
      <c r="E8" s="67" t="s">
        <v>57</v>
      </c>
      <c r="F8" s="213">
        <v>0.25</v>
      </c>
      <c r="G8" s="213">
        <v>0.25</v>
      </c>
      <c r="H8" s="213">
        <v>0.25</v>
      </c>
      <c r="I8" s="213">
        <v>0.25</v>
      </c>
      <c r="J8" s="230"/>
      <c r="K8" s="126"/>
      <c r="L8" s="126"/>
      <c r="M8" s="149"/>
    </row>
    <row r="9" spans="2:32" x14ac:dyDescent="0.2">
      <c r="B9" s="161"/>
      <c r="C9" s="165"/>
      <c r="D9" s="165"/>
      <c r="E9" s="161"/>
      <c r="F9" s="161"/>
      <c r="J9" s="14"/>
      <c r="K9" s="126"/>
      <c r="L9" s="126"/>
    </row>
    <row r="10" spans="2:32" ht="21" x14ac:dyDescent="0.35">
      <c r="B10" s="162" t="s">
        <v>52</v>
      </c>
      <c r="C10" s="163"/>
      <c r="D10" s="163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</row>
    <row r="11" spans="2:32" x14ac:dyDescent="0.2">
      <c r="B11" s="161"/>
      <c r="C11" s="165"/>
      <c r="D11" s="165"/>
      <c r="E11" s="161"/>
      <c r="F11" s="175"/>
      <c r="I11" s="160"/>
      <c r="J11" s="176"/>
    </row>
    <row r="12" spans="2:32" ht="15.75" x14ac:dyDescent="0.25">
      <c r="B12" s="166" t="s">
        <v>36</v>
      </c>
      <c r="C12" s="167"/>
      <c r="D12" s="167"/>
      <c r="E12" s="10"/>
      <c r="F12" s="10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</row>
    <row r="13" spans="2:32" ht="15.75" x14ac:dyDescent="0.25">
      <c r="B13" s="168" t="s">
        <v>14</v>
      </c>
      <c r="C13" s="169" t="s">
        <v>13</v>
      </c>
      <c r="D13" s="169"/>
      <c r="E13" s="170" t="s">
        <v>22</v>
      </c>
      <c r="F13" s="170" t="s">
        <v>38</v>
      </c>
      <c r="G13" s="171" t="s">
        <v>103</v>
      </c>
      <c r="H13" s="171" t="s">
        <v>104</v>
      </c>
      <c r="I13" s="171" t="s">
        <v>105</v>
      </c>
      <c r="J13" s="171" t="s">
        <v>106</v>
      </c>
      <c r="K13" s="171" t="s">
        <v>107</v>
      </c>
      <c r="L13" s="171" t="s">
        <v>108</v>
      </c>
      <c r="M13" s="171" t="s">
        <v>109</v>
      </c>
      <c r="N13" s="171" t="s">
        <v>110</v>
      </c>
      <c r="O13" s="171" t="s">
        <v>111</v>
      </c>
      <c r="P13" s="171" t="s">
        <v>112</v>
      </c>
      <c r="Q13" s="171" t="s">
        <v>113</v>
      </c>
      <c r="R13" s="171" t="s">
        <v>114</v>
      </c>
      <c r="S13" s="171" t="s">
        <v>115</v>
      </c>
      <c r="T13" s="171" t="s">
        <v>116</v>
      </c>
      <c r="U13" s="171" t="s">
        <v>117</v>
      </c>
      <c r="V13" s="171" t="s">
        <v>118</v>
      </c>
      <c r="W13" s="171" t="s">
        <v>119</v>
      </c>
      <c r="X13" s="171" t="s">
        <v>120</v>
      </c>
      <c r="Y13" s="171" t="s">
        <v>121</v>
      </c>
      <c r="Z13" s="171" t="s">
        <v>122</v>
      </c>
      <c r="AA13" s="171" t="s">
        <v>123</v>
      </c>
      <c r="AB13" s="171" t="s">
        <v>124</v>
      </c>
      <c r="AC13" s="171" t="s">
        <v>125</v>
      </c>
      <c r="AD13" s="171" t="s">
        <v>126</v>
      </c>
      <c r="AE13" s="171" t="s">
        <v>127</v>
      </c>
      <c r="AF13" s="171" t="s">
        <v>153</v>
      </c>
    </row>
    <row r="14" spans="2:32" x14ac:dyDescent="0.2">
      <c r="B14" s="172">
        <v>1</v>
      </c>
      <c r="C14" s="13" t="s">
        <v>96</v>
      </c>
      <c r="D14" s="164"/>
      <c r="E14" s="173" t="s">
        <v>35</v>
      </c>
      <c r="F14" s="21">
        <v>32568426.341301262</v>
      </c>
      <c r="G14" s="20">
        <v>0</v>
      </c>
      <c r="H14" s="20">
        <v>-37518567.013123408</v>
      </c>
      <c r="I14" s="20">
        <v>-3949665.6448508576</v>
      </c>
      <c r="J14" s="20">
        <v>-30943795.478729285</v>
      </c>
      <c r="K14" s="20">
        <v>-74447258.211008787</v>
      </c>
      <c r="L14" s="20">
        <v>27159435.725045275</v>
      </c>
      <c r="M14" s="20">
        <v>246815595.1272814</v>
      </c>
      <c r="N14" s="20">
        <v>-67569610.063744232</v>
      </c>
      <c r="O14" s="20">
        <v>-5625563.7889585868</v>
      </c>
      <c r="P14" s="20">
        <v>-58416150.675248533</v>
      </c>
      <c r="Q14" s="20">
        <v>-92894398.514767647</v>
      </c>
      <c r="R14" s="20">
        <v>20985799.170666475</v>
      </c>
      <c r="S14" s="20">
        <v>168350384.19791049</v>
      </c>
      <c r="T14" s="20">
        <v>-35376286.015579402</v>
      </c>
      <c r="U14" s="20">
        <v>-36556184.167054251</v>
      </c>
      <c r="V14" s="20">
        <v>45595577.138833143</v>
      </c>
      <c r="W14" s="20">
        <v>32631960.330249391</v>
      </c>
      <c r="X14" s="20">
        <v>-12961567.168167729</v>
      </c>
      <c r="Y14" s="20">
        <v>-32520403.896140762</v>
      </c>
      <c r="Z14" s="20">
        <v>17825758.720143624</v>
      </c>
      <c r="AA14" s="20">
        <v>-13152448.618440988</v>
      </c>
      <c r="AB14" s="20">
        <v>-13602134.245363185</v>
      </c>
      <c r="AC14" s="20">
        <v>-865251.28042154154</v>
      </c>
      <c r="AD14" s="20">
        <v>-13030735.640456185</v>
      </c>
      <c r="AE14" s="20">
        <v>-1149907.9380983473</v>
      </c>
      <c r="AF14" s="20">
        <v>113814270.03978826</v>
      </c>
    </row>
    <row r="15" spans="2:32" x14ac:dyDescent="0.2">
      <c r="B15" s="172">
        <v>2</v>
      </c>
      <c r="C15" s="13" t="s">
        <v>97</v>
      </c>
      <c r="D15" s="164"/>
      <c r="E15" s="173" t="s">
        <v>35</v>
      </c>
      <c r="F15" s="21">
        <v>-40215168.709111229</v>
      </c>
      <c r="G15" s="20">
        <v>0</v>
      </c>
      <c r="H15" s="20">
        <v>-60518567.013123423</v>
      </c>
      <c r="I15" s="20">
        <v>-26949665.644850858</v>
      </c>
      <c r="J15" s="20">
        <v>-53943795.478729278</v>
      </c>
      <c r="K15" s="20">
        <v>-98367258.211008802</v>
      </c>
      <c r="L15" s="20">
        <v>26239435.725045275</v>
      </c>
      <c r="M15" s="20">
        <v>245895595.1272814</v>
      </c>
      <c r="N15" s="20">
        <v>-68489610.063744232</v>
      </c>
      <c r="O15" s="20">
        <v>-6545563.7889585868</v>
      </c>
      <c r="P15" s="20">
        <v>-59336150.675248533</v>
      </c>
      <c r="Q15" s="20">
        <v>-93814398.514767647</v>
      </c>
      <c r="R15" s="20">
        <v>20065799.170666475</v>
      </c>
      <c r="S15" s="20">
        <v>167430384.19791049</v>
      </c>
      <c r="T15" s="20">
        <v>-36296286.015579402</v>
      </c>
      <c r="U15" s="20">
        <v>-37476184.167054251</v>
      </c>
      <c r="V15" s="20">
        <v>44675577.138833143</v>
      </c>
      <c r="W15" s="20">
        <v>31711960.330249391</v>
      </c>
      <c r="X15" s="20">
        <v>-13881567.168167729</v>
      </c>
      <c r="Y15" s="20">
        <v>-33440403.896140762</v>
      </c>
      <c r="Z15" s="20">
        <v>16905758.720143624</v>
      </c>
      <c r="AA15" s="20">
        <v>-14072448.618440986</v>
      </c>
      <c r="AB15" s="20">
        <v>-14522134.245363185</v>
      </c>
      <c r="AC15" s="20">
        <v>-1785251.2804215415</v>
      </c>
      <c r="AD15" s="20">
        <v>-13950735.640456185</v>
      </c>
      <c r="AE15" s="20">
        <v>-2069907.9380983473</v>
      </c>
      <c r="AF15" s="20">
        <v>164084270.03978825</v>
      </c>
    </row>
    <row r="16" spans="2:32" x14ac:dyDescent="0.2">
      <c r="B16" s="172">
        <v>3</v>
      </c>
      <c r="C16" s="13" t="s">
        <v>98</v>
      </c>
      <c r="D16" s="164"/>
      <c r="E16" s="173" t="s">
        <v>35</v>
      </c>
      <c r="F16" s="21">
        <v>-97236048.819124267</v>
      </c>
      <c r="G16" s="20">
        <v>0</v>
      </c>
      <c r="H16" s="20">
        <v>-82791506.851775274</v>
      </c>
      <c r="I16" s="20">
        <v>-48003160.190443993</v>
      </c>
      <c r="J16" s="20">
        <v>-76312778.974743634</v>
      </c>
      <c r="K16" s="20">
        <v>-122108577.10008724</v>
      </c>
      <c r="L16" s="20">
        <v>27532787.079384636</v>
      </c>
      <c r="M16" s="20">
        <v>250063601.68457144</v>
      </c>
      <c r="N16" s="20">
        <v>-68626610.2200692</v>
      </c>
      <c r="O16" s="20">
        <v>-1150889.1532784142</v>
      </c>
      <c r="P16" s="20">
        <v>-60174980.165572815</v>
      </c>
      <c r="Q16" s="20">
        <v>-98333779.068156004</v>
      </c>
      <c r="R16" s="20">
        <v>18774040.760759782</v>
      </c>
      <c r="S16" s="20">
        <v>172002313.70352396</v>
      </c>
      <c r="T16" s="20">
        <v>-34326270.042432047</v>
      </c>
      <c r="U16" s="20">
        <v>-39914877.325920649</v>
      </c>
      <c r="V16" s="20">
        <v>40697529.58302474</v>
      </c>
      <c r="W16" s="20">
        <v>34061618.711656049</v>
      </c>
      <c r="X16" s="20">
        <v>-9586834.1651765183</v>
      </c>
      <c r="Y16" s="20">
        <v>-36073516.611737169</v>
      </c>
      <c r="Z16" s="20">
        <v>19636916.864689562</v>
      </c>
      <c r="AA16" s="20">
        <v>-16804370.442615889</v>
      </c>
      <c r="AB16" s="20">
        <v>-16034747.960399441</v>
      </c>
      <c r="AC16" s="20">
        <v>-3832386.0292397263</v>
      </c>
      <c r="AD16" s="20">
        <v>-11610132.2004606</v>
      </c>
      <c r="AE16" s="20">
        <v>-2342006.768676471</v>
      </c>
      <c r="AF16" s="20">
        <v>214259184.88958326</v>
      </c>
    </row>
    <row r="17" spans="2:32" x14ac:dyDescent="0.2">
      <c r="B17" s="172">
        <v>4</v>
      </c>
      <c r="C17" s="13" t="s">
        <v>99</v>
      </c>
      <c r="D17" s="164"/>
      <c r="E17" s="173" t="s">
        <v>35</v>
      </c>
      <c r="F17" s="21">
        <v>-6681075.3329172768</v>
      </c>
      <c r="G17" s="20">
        <v>0</v>
      </c>
      <c r="H17" s="20">
        <v>-13128754.059419749</v>
      </c>
      <c r="I17" s="20">
        <v>-20139745.790491335</v>
      </c>
      <c r="J17" s="20">
        <v>2176689.2441733629</v>
      </c>
      <c r="K17" s="20">
        <v>-961121.82371072797</v>
      </c>
      <c r="L17" s="20">
        <v>2149185.8251889632</v>
      </c>
      <c r="M17" s="20">
        <v>38885677.755355217</v>
      </c>
      <c r="N17" s="20">
        <v>-24681895.187596958</v>
      </c>
      <c r="O17" s="20">
        <v>-6984305.3140049009</v>
      </c>
      <c r="P17" s="20">
        <v>14869475.240934998</v>
      </c>
      <c r="Q17" s="20">
        <v>-3423294.424477153</v>
      </c>
      <c r="R17" s="20">
        <v>-326871.26982989849</v>
      </c>
      <c r="S17" s="20">
        <v>9476569.2300098669</v>
      </c>
      <c r="T17" s="20">
        <v>4277629.3616046607</v>
      </c>
      <c r="U17" s="20">
        <v>4194925.0242961189</v>
      </c>
      <c r="V17" s="20">
        <v>-6898360.8571129786</v>
      </c>
      <c r="W17" s="20">
        <v>-615473.00010894705</v>
      </c>
      <c r="X17" s="20">
        <v>3176419.1405971409</v>
      </c>
      <c r="Y17" s="20">
        <v>-8692641.0182356276</v>
      </c>
      <c r="Z17" s="20">
        <v>-419705.67507538944</v>
      </c>
      <c r="AA17" s="20">
        <v>5155784.1992144687</v>
      </c>
      <c r="AB17" s="20">
        <v>-5678365.5131993648</v>
      </c>
      <c r="AC17" s="20">
        <v>-1406873.3891923432</v>
      </c>
      <c r="AD17" s="20">
        <v>-1867217.2296275415</v>
      </c>
      <c r="AE17" s="20">
        <v>-1635066.378408195</v>
      </c>
      <c r="AF17" s="20">
        <v>21397190.669152588</v>
      </c>
    </row>
    <row r="18" spans="2:32" x14ac:dyDescent="0.2">
      <c r="B18" s="172">
        <v>5</v>
      </c>
      <c r="C18" s="13" t="s">
        <v>100</v>
      </c>
      <c r="D18" s="164"/>
      <c r="E18" s="173" t="s">
        <v>35</v>
      </c>
      <c r="F18" s="21">
        <v>-44008749.419036672</v>
      </c>
      <c r="G18" s="265" t="s">
        <v>240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</row>
    <row r="19" spans="2:32" x14ac:dyDescent="0.2">
      <c r="B19" s="172">
        <v>6</v>
      </c>
      <c r="C19" s="13" t="s">
        <v>174</v>
      </c>
      <c r="D19" s="164"/>
      <c r="E19" s="173" t="s">
        <v>35</v>
      </c>
      <c r="F19" s="21">
        <v>-28876330.161726579</v>
      </c>
      <c r="G19" s="265" t="s">
        <v>240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</row>
    <row r="20" spans="2:32" x14ac:dyDescent="0.2">
      <c r="B20" s="161"/>
      <c r="C20" s="165"/>
      <c r="D20" s="165"/>
      <c r="E20" s="161"/>
      <c r="F20" s="12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</row>
    <row r="21" spans="2:32" ht="15.75" x14ac:dyDescent="0.25">
      <c r="B21" s="166" t="s">
        <v>76</v>
      </c>
      <c r="C21" s="167"/>
      <c r="D21" s="167"/>
      <c r="E21" s="10"/>
      <c r="F21" s="10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</row>
    <row r="22" spans="2:32" ht="15.75" x14ac:dyDescent="0.25">
      <c r="B22" s="168" t="s">
        <v>14</v>
      </c>
      <c r="C22" s="169" t="s">
        <v>13</v>
      </c>
      <c r="D22" s="169"/>
      <c r="E22" s="170" t="s">
        <v>22</v>
      </c>
      <c r="F22" s="170" t="s">
        <v>37</v>
      </c>
      <c r="G22" s="171" t="s">
        <v>103</v>
      </c>
      <c r="H22" s="171" t="s">
        <v>104</v>
      </c>
      <c r="I22" s="171" t="s">
        <v>105</v>
      </c>
      <c r="J22" s="171" t="s">
        <v>106</v>
      </c>
      <c r="K22" s="171" t="s">
        <v>107</v>
      </c>
      <c r="L22" s="171" t="s">
        <v>108</v>
      </c>
      <c r="M22" s="171" t="s">
        <v>109</v>
      </c>
      <c r="N22" s="171" t="s">
        <v>110</v>
      </c>
      <c r="O22" s="171" t="s">
        <v>111</v>
      </c>
      <c r="P22" s="171" t="s">
        <v>112</v>
      </c>
      <c r="Q22" s="171" t="s">
        <v>113</v>
      </c>
      <c r="R22" s="171" t="s">
        <v>114</v>
      </c>
      <c r="S22" s="171" t="s">
        <v>115</v>
      </c>
      <c r="T22" s="171" t="s">
        <v>116</v>
      </c>
      <c r="U22" s="171" t="s">
        <v>117</v>
      </c>
      <c r="V22" s="171" t="s">
        <v>118</v>
      </c>
      <c r="W22" s="171" t="s">
        <v>119</v>
      </c>
      <c r="X22" s="171" t="s">
        <v>120</v>
      </c>
      <c r="Y22" s="171" t="s">
        <v>121</v>
      </c>
      <c r="Z22" s="171" t="s">
        <v>122</v>
      </c>
      <c r="AA22" s="171" t="s">
        <v>123</v>
      </c>
      <c r="AB22" s="171" t="s">
        <v>124</v>
      </c>
      <c r="AC22" s="171" t="s">
        <v>125</v>
      </c>
      <c r="AD22" s="171" t="s">
        <v>126</v>
      </c>
      <c r="AE22" s="171" t="s">
        <v>127</v>
      </c>
      <c r="AF22" s="171" t="s">
        <v>153</v>
      </c>
    </row>
    <row r="23" spans="2:32" x14ac:dyDescent="0.2">
      <c r="B23" s="172">
        <v>1</v>
      </c>
      <c r="C23" s="13" t="s">
        <v>96</v>
      </c>
      <c r="D23" s="164"/>
      <c r="E23" s="173" t="s">
        <v>35</v>
      </c>
      <c r="F23" s="21">
        <v>199771559.89228797</v>
      </c>
      <c r="G23" s="20">
        <v>0</v>
      </c>
      <c r="H23" s="20">
        <v>15231432.986876592</v>
      </c>
      <c r="I23" s="20">
        <v>48800334.355149142</v>
      </c>
      <c r="J23" s="20">
        <v>21806204.521270711</v>
      </c>
      <c r="K23" s="20">
        <v>-19587258.211008795</v>
      </c>
      <c r="L23" s="20">
        <v>29269435.725045275</v>
      </c>
      <c r="M23" s="20">
        <v>248925595.1272814</v>
      </c>
      <c r="N23" s="20">
        <v>-65459610.063744232</v>
      </c>
      <c r="O23" s="20">
        <v>-3515563.7889585868</v>
      </c>
      <c r="P23" s="20">
        <v>-56306150.675248533</v>
      </c>
      <c r="Q23" s="20">
        <v>-90784398.514767647</v>
      </c>
      <c r="R23" s="20">
        <v>23095799.170666475</v>
      </c>
      <c r="S23" s="20">
        <v>170460384.19791049</v>
      </c>
      <c r="T23" s="20">
        <v>-33266286.015579402</v>
      </c>
      <c r="U23" s="20">
        <v>-34446184.167054251</v>
      </c>
      <c r="V23" s="20">
        <v>47705577.138833143</v>
      </c>
      <c r="W23" s="20">
        <v>34741960.330249391</v>
      </c>
      <c r="X23" s="20">
        <v>-10851567.168167729</v>
      </c>
      <c r="Y23" s="20">
        <v>-30410403.896140762</v>
      </c>
      <c r="Z23" s="20">
        <v>19935758.720143624</v>
      </c>
      <c r="AA23" s="20">
        <v>-11042448.618440988</v>
      </c>
      <c r="AB23" s="20">
        <v>-11492134.245363185</v>
      </c>
      <c r="AC23" s="20">
        <v>1244748.7195784585</v>
      </c>
      <c r="AD23" s="20">
        <v>-10920735.640456185</v>
      </c>
      <c r="AE23" s="20">
        <v>960092.06190165272</v>
      </c>
      <c r="AF23" s="20">
        <v>-255729.96021173336</v>
      </c>
    </row>
    <row r="24" spans="2:32" x14ac:dyDescent="0.2">
      <c r="B24" s="172">
        <v>2</v>
      </c>
      <c r="C24" s="13" t="s">
        <v>97</v>
      </c>
      <c r="D24" s="164"/>
      <c r="E24" s="173" t="s">
        <v>35</v>
      </c>
      <c r="F24" s="21">
        <v>199771559.89228797</v>
      </c>
      <c r="G24" s="20">
        <v>0</v>
      </c>
      <c r="H24" s="20">
        <v>15231432.986876592</v>
      </c>
      <c r="I24" s="20">
        <v>48800334.355149142</v>
      </c>
      <c r="J24" s="20">
        <v>21806204.521270711</v>
      </c>
      <c r="K24" s="20">
        <v>-19587258.211008795</v>
      </c>
      <c r="L24" s="20">
        <v>29269435.725045275</v>
      </c>
      <c r="M24" s="20">
        <v>248925595.1272814</v>
      </c>
      <c r="N24" s="20">
        <v>-65459610.063744232</v>
      </c>
      <c r="O24" s="20">
        <v>-3515563.7889585868</v>
      </c>
      <c r="P24" s="20">
        <v>-56306150.675248533</v>
      </c>
      <c r="Q24" s="20">
        <v>-90784398.514767647</v>
      </c>
      <c r="R24" s="20">
        <v>23095799.170666475</v>
      </c>
      <c r="S24" s="20">
        <v>170460384.19791049</v>
      </c>
      <c r="T24" s="20">
        <v>-33266286.015579402</v>
      </c>
      <c r="U24" s="20">
        <v>-34446184.167054251</v>
      </c>
      <c r="V24" s="20">
        <v>47705577.138833143</v>
      </c>
      <c r="W24" s="20">
        <v>34741960.330249391</v>
      </c>
      <c r="X24" s="20">
        <v>-10851567.168167729</v>
      </c>
      <c r="Y24" s="20">
        <v>-30410403.896140762</v>
      </c>
      <c r="Z24" s="20">
        <v>19935758.720143624</v>
      </c>
      <c r="AA24" s="20">
        <v>-11042448.618440988</v>
      </c>
      <c r="AB24" s="20">
        <v>-11492134.245363185</v>
      </c>
      <c r="AC24" s="20">
        <v>1244748.7195784585</v>
      </c>
      <c r="AD24" s="20">
        <v>-10920735.640456185</v>
      </c>
      <c r="AE24" s="20">
        <v>960092.06190165272</v>
      </c>
      <c r="AF24" s="20">
        <v>-255729.96021173336</v>
      </c>
    </row>
    <row r="25" spans="2:32" x14ac:dyDescent="0.2">
      <c r="B25" s="172">
        <v>3</v>
      </c>
      <c r="C25" s="13" t="s">
        <v>98</v>
      </c>
      <c r="D25" s="164"/>
      <c r="E25" s="173" t="s">
        <v>35</v>
      </c>
      <c r="F25" s="21">
        <v>213928859.04425865</v>
      </c>
      <c r="G25" s="20">
        <v>0</v>
      </c>
      <c r="H25" s="20">
        <v>15458493.148224724</v>
      </c>
      <c r="I25" s="20">
        <v>50246839.809556</v>
      </c>
      <c r="J25" s="20">
        <v>21937221.025256377</v>
      </c>
      <c r="K25" s="20">
        <v>-19928577.100087252</v>
      </c>
      <c r="L25" s="20">
        <v>31462787.079384636</v>
      </c>
      <c r="M25" s="20">
        <v>253993601.68457144</v>
      </c>
      <c r="N25" s="20">
        <v>-64696610.220069192</v>
      </c>
      <c r="O25" s="20">
        <v>2779110.8467215858</v>
      </c>
      <c r="P25" s="20">
        <v>-56244980.165572815</v>
      </c>
      <c r="Q25" s="20">
        <v>-94403779.068156004</v>
      </c>
      <c r="R25" s="20">
        <v>22704040.760759786</v>
      </c>
      <c r="S25" s="20">
        <v>175932313.70352396</v>
      </c>
      <c r="T25" s="20">
        <v>-30396270.042432051</v>
      </c>
      <c r="U25" s="20">
        <v>-35984877.325920656</v>
      </c>
      <c r="V25" s="20">
        <v>44627529.58302474</v>
      </c>
      <c r="W25" s="20">
        <v>37991618.711656049</v>
      </c>
      <c r="X25" s="20">
        <v>-5656834.1651765173</v>
      </c>
      <c r="Y25" s="20">
        <v>-32143516.611737166</v>
      </c>
      <c r="Z25" s="20">
        <v>23566916.864689562</v>
      </c>
      <c r="AA25" s="20">
        <v>-12874370.442615887</v>
      </c>
      <c r="AB25" s="20">
        <v>-12104747.960399441</v>
      </c>
      <c r="AC25" s="20">
        <v>97613.970760274213</v>
      </c>
      <c r="AD25" s="20">
        <v>-7680132.2004605997</v>
      </c>
      <c r="AE25" s="20">
        <v>1587993.231323529</v>
      </c>
      <c r="AF25" s="20">
        <v>639184.88958325982</v>
      </c>
    </row>
    <row r="26" spans="2:32" x14ac:dyDescent="0.2">
      <c r="B26" s="172">
        <v>4</v>
      </c>
      <c r="C26" s="13" t="s">
        <v>99</v>
      </c>
      <c r="D26" s="164"/>
      <c r="E26" s="173" t="s">
        <v>35</v>
      </c>
      <c r="F26" s="21">
        <v>35904568.368539751</v>
      </c>
      <c r="G26" s="20">
        <v>0</v>
      </c>
      <c r="H26" s="20">
        <v>3537912.6072469177</v>
      </c>
      <c r="I26" s="20">
        <v>-3473079.123824669</v>
      </c>
      <c r="J26" s="20">
        <v>19343355.910840031</v>
      </c>
      <c r="K26" s="20">
        <v>-461121.82371072797</v>
      </c>
      <c r="L26" s="20">
        <v>2649185.8251889632</v>
      </c>
      <c r="M26" s="20">
        <v>39385677.755355217</v>
      </c>
      <c r="N26" s="20">
        <v>-24181895.187596958</v>
      </c>
      <c r="O26" s="20">
        <v>-6484305.3140049009</v>
      </c>
      <c r="P26" s="20">
        <v>15369475.240934998</v>
      </c>
      <c r="Q26" s="20">
        <v>-2923294.4244771535</v>
      </c>
      <c r="R26" s="20">
        <v>173128.73017010151</v>
      </c>
      <c r="S26" s="20">
        <v>9976569.2300098669</v>
      </c>
      <c r="T26" s="20">
        <v>4777629.3616046607</v>
      </c>
      <c r="U26" s="20">
        <v>4694925.0242961189</v>
      </c>
      <c r="V26" s="20">
        <v>-6398360.8571129786</v>
      </c>
      <c r="W26" s="20">
        <v>-115473.00010894699</v>
      </c>
      <c r="X26" s="20">
        <v>3676419.1405971413</v>
      </c>
      <c r="Y26" s="20">
        <v>-8192641.0182356276</v>
      </c>
      <c r="Z26" s="20">
        <v>80294.324924610439</v>
      </c>
      <c r="AA26" s="20">
        <v>5655784.1992144687</v>
      </c>
      <c r="AB26" s="20">
        <v>-5178365.5131993648</v>
      </c>
      <c r="AC26" s="20">
        <v>-906873.38919234334</v>
      </c>
      <c r="AD26" s="20">
        <v>-1367217.2296275415</v>
      </c>
      <c r="AE26" s="20">
        <v>-1135066.378408195</v>
      </c>
      <c r="AF26" s="20">
        <v>647190.6691525894</v>
      </c>
    </row>
    <row r="27" spans="2:32" x14ac:dyDescent="0.2">
      <c r="B27" s="172">
        <v>5</v>
      </c>
      <c r="C27" s="13" t="s">
        <v>100</v>
      </c>
      <c r="D27" s="164"/>
      <c r="E27" s="173" t="s">
        <v>35</v>
      </c>
      <c r="F27" s="21"/>
      <c r="G27" s="265" t="s">
        <v>240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</row>
    <row r="28" spans="2:32" x14ac:dyDescent="0.2">
      <c r="B28" s="172">
        <v>6</v>
      </c>
      <c r="C28" s="13" t="s">
        <v>174</v>
      </c>
      <c r="D28" s="164"/>
      <c r="E28" s="173" t="s">
        <v>35</v>
      </c>
      <c r="F28" s="21"/>
      <c r="G28" s="265" t="s">
        <v>240</v>
      </c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</row>
    <row r="29" spans="2:32" x14ac:dyDescent="0.2">
      <c r="B29" s="161"/>
      <c r="C29" s="165"/>
      <c r="D29" s="165"/>
      <c r="E29" s="161"/>
      <c r="H29" s="160"/>
      <c r="I29" s="14"/>
      <c r="J29" s="160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</row>
    <row r="30" spans="2:32" ht="15.75" x14ac:dyDescent="0.25">
      <c r="B30" s="166" t="s">
        <v>77</v>
      </c>
      <c r="C30" s="167"/>
      <c r="D30" s="167"/>
      <c r="E30" s="10"/>
      <c r="F30" s="1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</row>
    <row r="31" spans="2:32" ht="15.75" x14ac:dyDescent="0.25">
      <c r="B31" s="168" t="s">
        <v>14</v>
      </c>
      <c r="C31" s="169" t="s">
        <v>13</v>
      </c>
      <c r="D31" s="169"/>
      <c r="E31" s="170" t="s">
        <v>22</v>
      </c>
      <c r="F31" s="170" t="s">
        <v>37</v>
      </c>
      <c r="G31" s="171" t="s">
        <v>103</v>
      </c>
      <c r="H31" s="171" t="s">
        <v>104</v>
      </c>
      <c r="I31" s="171" t="s">
        <v>105</v>
      </c>
      <c r="J31" s="171" t="s">
        <v>106</v>
      </c>
      <c r="K31" s="171" t="s">
        <v>107</v>
      </c>
      <c r="L31" s="171" t="s">
        <v>108</v>
      </c>
      <c r="M31" s="171" t="s">
        <v>109</v>
      </c>
      <c r="N31" s="171" t="s">
        <v>110</v>
      </c>
      <c r="O31" s="171" t="s">
        <v>111</v>
      </c>
      <c r="P31" s="171" t="s">
        <v>112</v>
      </c>
      <c r="Q31" s="171" t="s">
        <v>113</v>
      </c>
      <c r="R31" s="171" t="s">
        <v>114</v>
      </c>
      <c r="S31" s="171" t="s">
        <v>115</v>
      </c>
      <c r="T31" s="171" t="s">
        <v>116</v>
      </c>
      <c r="U31" s="171" t="s">
        <v>117</v>
      </c>
      <c r="V31" s="171" t="s">
        <v>118</v>
      </c>
      <c r="W31" s="171" t="s">
        <v>119</v>
      </c>
      <c r="X31" s="171" t="s">
        <v>120</v>
      </c>
      <c r="Y31" s="171" t="s">
        <v>121</v>
      </c>
      <c r="Z31" s="171" t="s">
        <v>122</v>
      </c>
      <c r="AA31" s="171" t="s">
        <v>123</v>
      </c>
      <c r="AB31" s="171" t="s">
        <v>124</v>
      </c>
      <c r="AC31" s="171" t="s">
        <v>125</v>
      </c>
      <c r="AD31" s="171" t="s">
        <v>126</v>
      </c>
      <c r="AE31" s="171" t="s">
        <v>127</v>
      </c>
      <c r="AF31" s="171" t="s">
        <v>153</v>
      </c>
    </row>
    <row r="32" spans="2:32" x14ac:dyDescent="0.2">
      <c r="B32" s="172">
        <v>1</v>
      </c>
      <c r="C32" s="13" t="s">
        <v>96</v>
      </c>
      <c r="D32" s="164"/>
      <c r="E32" s="173" t="s">
        <v>35</v>
      </c>
      <c r="F32" s="21">
        <v>-167203133.55098668</v>
      </c>
      <c r="G32" s="20">
        <v>0</v>
      </c>
      <c r="H32" s="20">
        <v>-52750000</v>
      </c>
      <c r="I32" s="20">
        <v>-52750000</v>
      </c>
      <c r="J32" s="20">
        <v>-52750000</v>
      </c>
      <c r="K32" s="20">
        <v>-54860000</v>
      </c>
      <c r="L32" s="20">
        <v>-2110000</v>
      </c>
      <c r="M32" s="20">
        <v>-2110000</v>
      </c>
      <c r="N32" s="20">
        <v>-2110000</v>
      </c>
      <c r="O32" s="20">
        <v>-2110000</v>
      </c>
      <c r="P32" s="20">
        <v>-2110000</v>
      </c>
      <c r="Q32" s="20">
        <v>-2110000</v>
      </c>
      <c r="R32" s="20">
        <v>-2110000</v>
      </c>
      <c r="S32" s="20">
        <v>-2110000</v>
      </c>
      <c r="T32" s="20">
        <v>-2110000</v>
      </c>
      <c r="U32" s="20">
        <v>-2110000</v>
      </c>
      <c r="V32" s="20">
        <v>-2110000</v>
      </c>
      <c r="W32" s="20">
        <v>-2110000</v>
      </c>
      <c r="X32" s="20">
        <v>-2110000</v>
      </c>
      <c r="Y32" s="20">
        <v>-2110000</v>
      </c>
      <c r="Z32" s="20">
        <v>-2110000</v>
      </c>
      <c r="AA32" s="20">
        <v>-2110000</v>
      </c>
      <c r="AB32" s="20">
        <v>-2110000</v>
      </c>
      <c r="AC32" s="20">
        <v>-2110000</v>
      </c>
      <c r="AD32" s="20">
        <v>-2110000</v>
      </c>
      <c r="AE32" s="20">
        <v>-2110000</v>
      </c>
      <c r="AF32" s="20">
        <v>114070000</v>
      </c>
    </row>
    <row r="33" spans="2:32" x14ac:dyDescent="0.2">
      <c r="B33" s="172">
        <v>2</v>
      </c>
      <c r="C33" s="13" t="s">
        <v>97</v>
      </c>
      <c r="D33" s="164"/>
      <c r="E33" s="173" t="s">
        <v>35</v>
      </c>
      <c r="F33" s="21">
        <v>-239986728.60139915</v>
      </c>
      <c r="G33" s="20">
        <v>0</v>
      </c>
      <c r="H33" s="20">
        <v>-75750000</v>
      </c>
      <c r="I33" s="20">
        <v>-75750000</v>
      </c>
      <c r="J33" s="20">
        <v>-75750000</v>
      </c>
      <c r="K33" s="20">
        <v>-78780000</v>
      </c>
      <c r="L33" s="20">
        <v>-3030000</v>
      </c>
      <c r="M33" s="20">
        <v>-3030000</v>
      </c>
      <c r="N33" s="20">
        <v>-3030000</v>
      </c>
      <c r="O33" s="20">
        <v>-3030000</v>
      </c>
      <c r="P33" s="20">
        <v>-3030000</v>
      </c>
      <c r="Q33" s="20">
        <v>-3030000</v>
      </c>
      <c r="R33" s="20">
        <v>-3030000</v>
      </c>
      <c r="S33" s="20">
        <v>-3030000</v>
      </c>
      <c r="T33" s="20">
        <v>-3030000</v>
      </c>
      <c r="U33" s="20">
        <v>-3030000</v>
      </c>
      <c r="V33" s="20">
        <v>-3030000</v>
      </c>
      <c r="W33" s="20">
        <v>-3030000</v>
      </c>
      <c r="X33" s="20">
        <v>-3030000</v>
      </c>
      <c r="Y33" s="20">
        <v>-3030000</v>
      </c>
      <c r="Z33" s="20">
        <v>-3030000</v>
      </c>
      <c r="AA33" s="20">
        <v>-3030000</v>
      </c>
      <c r="AB33" s="20">
        <v>-3030000</v>
      </c>
      <c r="AC33" s="20">
        <v>-3030000</v>
      </c>
      <c r="AD33" s="20">
        <v>-3030000</v>
      </c>
      <c r="AE33" s="20">
        <v>-3030000</v>
      </c>
      <c r="AF33" s="20">
        <v>164340000</v>
      </c>
    </row>
    <row r="34" spans="2:32" x14ac:dyDescent="0.2">
      <c r="B34" s="172">
        <v>3</v>
      </c>
      <c r="C34" s="13" t="s">
        <v>98</v>
      </c>
      <c r="D34" s="164"/>
      <c r="E34" s="173" t="s">
        <v>35</v>
      </c>
      <c r="F34" s="21">
        <v>-311164907.86338294</v>
      </c>
      <c r="G34" s="20">
        <v>0</v>
      </c>
      <c r="H34" s="20">
        <v>-98250000</v>
      </c>
      <c r="I34" s="20">
        <v>-98250000</v>
      </c>
      <c r="J34" s="20">
        <v>-98250000</v>
      </c>
      <c r="K34" s="20">
        <v>-102180000</v>
      </c>
      <c r="L34" s="20">
        <v>-3930000</v>
      </c>
      <c r="M34" s="20">
        <v>-3930000</v>
      </c>
      <c r="N34" s="20">
        <v>-3930000</v>
      </c>
      <c r="O34" s="20">
        <v>-3930000</v>
      </c>
      <c r="P34" s="20">
        <v>-3930000</v>
      </c>
      <c r="Q34" s="20">
        <v>-3930000</v>
      </c>
      <c r="R34" s="20">
        <v>-3930000</v>
      </c>
      <c r="S34" s="20">
        <v>-3930000</v>
      </c>
      <c r="T34" s="20">
        <v>-3930000</v>
      </c>
      <c r="U34" s="20">
        <v>-3930000</v>
      </c>
      <c r="V34" s="20">
        <v>-3930000</v>
      </c>
      <c r="W34" s="20">
        <v>-3930000</v>
      </c>
      <c r="X34" s="20">
        <v>-3930000</v>
      </c>
      <c r="Y34" s="20">
        <v>-3930000</v>
      </c>
      <c r="Z34" s="20">
        <v>-3930000</v>
      </c>
      <c r="AA34" s="20">
        <v>-3930000</v>
      </c>
      <c r="AB34" s="20">
        <v>-3930000</v>
      </c>
      <c r="AC34" s="20">
        <v>-3930000</v>
      </c>
      <c r="AD34" s="20">
        <v>-3930000</v>
      </c>
      <c r="AE34" s="20">
        <v>-3930000</v>
      </c>
      <c r="AF34" s="20">
        <v>213620000</v>
      </c>
    </row>
    <row r="35" spans="2:32" x14ac:dyDescent="0.2">
      <c r="B35" s="172">
        <v>4</v>
      </c>
      <c r="C35" s="13" t="s">
        <v>99</v>
      </c>
      <c r="D35" s="164"/>
      <c r="E35" s="173" t="s">
        <v>35</v>
      </c>
      <c r="F35" s="21">
        <v>-42585643.701457031</v>
      </c>
      <c r="G35" s="20">
        <v>0</v>
      </c>
      <c r="H35" s="20">
        <v>-16666666.666666666</v>
      </c>
      <c r="I35" s="20">
        <v>-16666666.666666666</v>
      </c>
      <c r="J35" s="20">
        <v>-17166666.666666664</v>
      </c>
      <c r="K35" s="20">
        <v>-500000</v>
      </c>
      <c r="L35" s="20">
        <v>-500000</v>
      </c>
      <c r="M35" s="20">
        <v>-500000</v>
      </c>
      <c r="N35" s="20">
        <v>-500000</v>
      </c>
      <c r="O35" s="20">
        <v>-500000</v>
      </c>
      <c r="P35" s="20">
        <v>-500000</v>
      </c>
      <c r="Q35" s="20">
        <v>-500000</v>
      </c>
      <c r="R35" s="20">
        <v>-500000</v>
      </c>
      <c r="S35" s="20">
        <v>-500000</v>
      </c>
      <c r="T35" s="20">
        <v>-500000</v>
      </c>
      <c r="U35" s="20">
        <v>-500000</v>
      </c>
      <c r="V35" s="20">
        <v>-500000</v>
      </c>
      <c r="W35" s="20">
        <v>-500000</v>
      </c>
      <c r="X35" s="20">
        <v>-500000</v>
      </c>
      <c r="Y35" s="20">
        <v>-500000</v>
      </c>
      <c r="Z35" s="20">
        <v>-500000</v>
      </c>
      <c r="AA35" s="20">
        <v>-500000</v>
      </c>
      <c r="AB35" s="20">
        <v>-500000</v>
      </c>
      <c r="AC35" s="20">
        <v>-500000</v>
      </c>
      <c r="AD35" s="20">
        <v>-500000</v>
      </c>
      <c r="AE35" s="20">
        <v>-500000</v>
      </c>
      <c r="AF35" s="20">
        <v>20750000</v>
      </c>
    </row>
    <row r="36" spans="2:32" x14ac:dyDescent="0.2">
      <c r="B36" s="172">
        <v>5</v>
      </c>
      <c r="C36" s="13" t="s">
        <v>100</v>
      </c>
      <c r="D36" s="164"/>
      <c r="E36" s="173" t="s">
        <v>35</v>
      </c>
      <c r="F36" s="21"/>
      <c r="G36" s="265" t="s">
        <v>240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</row>
    <row r="37" spans="2:32" x14ac:dyDescent="0.2">
      <c r="B37" s="172">
        <v>6</v>
      </c>
      <c r="C37" s="13" t="s">
        <v>174</v>
      </c>
      <c r="D37" s="164"/>
      <c r="E37" s="173" t="s">
        <v>35</v>
      </c>
      <c r="F37" s="21"/>
      <c r="G37" s="265" t="s">
        <v>240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</row>
    <row r="38" spans="2:32" x14ac:dyDescent="0.2">
      <c r="B38" s="161"/>
      <c r="C38" s="165"/>
      <c r="D38" s="165"/>
      <c r="E38" s="161"/>
      <c r="F38" s="161"/>
    </row>
    <row r="39" spans="2:32" ht="21" x14ac:dyDescent="0.35">
      <c r="B39" s="162" t="s">
        <v>50</v>
      </c>
      <c r="C39" s="163"/>
      <c r="D39" s="163"/>
      <c r="E39" s="162"/>
      <c r="F39" s="130"/>
      <c r="G39" s="130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</row>
    <row r="40" spans="2:32" x14ac:dyDescent="0.2">
      <c r="B40" s="161"/>
      <c r="C40" s="165"/>
      <c r="D40" s="165"/>
      <c r="E40" s="161"/>
      <c r="F40" s="161"/>
    </row>
    <row r="41" spans="2:32" ht="15.75" x14ac:dyDescent="0.25">
      <c r="B41" s="58" t="s">
        <v>90</v>
      </c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2:32" x14ac:dyDescent="0.2">
      <c r="B42" s="164" t="s">
        <v>94</v>
      </c>
      <c r="C42" s="164"/>
      <c r="D42" s="164"/>
      <c r="E42" s="164"/>
      <c r="F42" s="164"/>
      <c r="G42" s="142">
        <v>1</v>
      </c>
      <c r="H42" s="142">
        <v>2</v>
      </c>
      <c r="I42" s="142">
        <v>3</v>
      </c>
      <c r="J42" s="142">
        <v>4</v>
      </c>
      <c r="K42" s="142">
        <v>5</v>
      </c>
      <c r="L42" s="142">
        <v>6</v>
      </c>
      <c r="M42" s="142">
        <v>7</v>
      </c>
      <c r="N42" s="142">
        <v>8</v>
      </c>
      <c r="O42" s="142">
        <v>9</v>
      </c>
      <c r="P42" s="142">
        <v>10</v>
      </c>
      <c r="Q42" s="142">
        <v>11</v>
      </c>
      <c r="R42" s="142">
        <v>12</v>
      </c>
      <c r="S42" s="142">
        <v>13</v>
      </c>
      <c r="T42" s="142">
        <v>14</v>
      </c>
      <c r="U42" s="142">
        <v>15</v>
      </c>
      <c r="V42" s="142">
        <v>16</v>
      </c>
      <c r="W42" s="142">
        <v>17</v>
      </c>
      <c r="X42" s="142">
        <v>18</v>
      </c>
      <c r="Y42" s="142">
        <v>19</v>
      </c>
      <c r="Z42" s="142">
        <v>20</v>
      </c>
      <c r="AA42" s="142">
        <v>21</v>
      </c>
      <c r="AB42" s="142">
        <v>22</v>
      </c>
      <c r="AC42" s="142">
        <v>23</v>
      </c>
      <c r="AD42" s="142">
        <v>24</v>
      </c>
      <c r="AE42" s="142">
        <v>25</v>
      </c>
      <c r="AF42" s="142">
        <v>26</v>
      </c>
    </row>
    <row r="43" spans="2:32" x14ac:dyDescent="0.2">
      <c r="B43" s="164" t="s">
        <v>92</v>
      </c>
      <c r="C43" s="164"/>
      <c r="D43" s="164"/>
      <c r="E43" s="164"/>
      <c r="F43" s="164"/>
      <c r="G43" s="142" t="s">
        <v>103</v>
      </c>
      <c r="H43" s="142" t="s">
        <v>104</v>
      </c>
      <c r="I43" s="142" t="s">
        <v>105</v>
      </c>
      <c r="J43" s="142" t="s">
        <v>106</v>
      </c>
      <c r="K43" s="142" t="s">
        <v>107</v>
      </c>
      <c r="L43" s="142" t="s">
        <v>108</v>
      </c>
      <c r="M43" s="142" t="s">
        <v>109</v>
      </c>
      <c r="N43" s="142" t="s">
        <v>110</v>
      </c>
      <c r="O43" s="142" t="s">
        <v>111</v>
      </c>
      <c r="P43" s="142" t="s">
        <v>112</v>
      </c>
      <c r="Q43" s="142" t="s">
        <v>113</v>
      </c>
      <c r="R43" s="142" t="s">
        <v>114</v>
      </c>
      <c r="S43" s="142" t="s">
        <v>115</v>
      </c>
      <c r="T43" s="142" t="s">
        <v>116</v>
      </c>
      <c r="U43" s="142" t="s">
        <v>117</v>
      </c>
      <c r="V43" s="142" t="s">
        <v>118</v>
      </c>
      <c r="W43" s="142" t="s">
        <v>119</v>
      </c>
      <c r="X43" s="142" t="s">
        <v>120</v>
      </c>
      <c r="Y43" s="142" t="s">
        <v>121</v>
      </c>
      <c r="Z43" s="142" t="s">
        <v>122</v>
      </c>
      <c r="AA43" s="142" t="s">
        <v>123</v>
      </c>
      <c r="AB43" s="142" t="s">
        <v>124</v>
      </c>
      <c r="AC43" s="142" t="s">
        <v>125</v>
      </c>
      <c r="AD43" s="142" t="s">
        <v>126</v>
      </c>
      <c r="AE43" s="142" t="s">
        <v>127</v>
      </c>
      <c r="AF43" s="142" t="s">
        <v>153</v>
      </c>
    </row>
    <row r="44" spans="2:32" x14ac:dyDescent="0.2">
      <c r="B44" s="164" t="s">
        <v>91</v>
      </c>
      <c r="C44" s="164"/>
      <c r="D44" s="164"/>
      <c r="E44" s="164"/>
      <c r="F44" s="164"/>
      <c r="G44" s="142" t="s">
        <v>210</v>
      </c>
      <c r="H44" s="142" t="s">
        <v>211</v>
      </c>
      <c r="I44" s="142" t="s">
        <v>212</v>
      </c>
      <c r="J44" s="142" t="s">
        <v>213</v>
      </c>
      <c r="K44" s="142" t="s">
        <v>214</v>
      </c>
      <c r="L44" s="142" t="s">
        <v>215</v>
      </c>
      <c r="M44" s="142" t="s">
        <v>216</v>
      </c>
      <c r="N44" s="142" t="s">
        <v>217</v>
      </c>
      <c r="O44" s="142" t="s">
        <v>218</v>
      </c>
      <c r="P44" s="142" t="s">
        <v>219</v>
      </c>
      <c r="Q44" s="142" t="s">
        <v>220</v>
      </c>
      <c r="R44" s="142" t="s">
        <v>221</v>
      </c>
      <c r="S44" s="142" t="s">
        <v>222</v>
      </c>
      <c r="T44" s="142" t="s">
        <v>223</v>
      </c>
      <c r="U44" s="142" t="s">
        <v>224</v>
      </c>
      <c r="V44" s="142" t="s">
        <v>225</v>
      </c>
      <c r="W44" s="142" t="s">
        <v>226</v>
      </c>
      <c r="X44" s="142" t="s">
        <v>227</v>
      </c>
      <c r="Y44" s="142" t="s">
        <v>228</v>
      </c>
      <c r="Z44" s="142" t="s">
        <v>229</v>
      </c>
      <c r="AA44" s="142" t="s">
        <v>230</v>
      </c>
      <c r="AB44" s="142" t="s">
        <v>231</v>
      </c>
      <c r="AC44" s="142" t="s">
        <v>232</v>
      </c>
      <c r="AD44" s="142" t="s">
        <v>233</v>
      </c>
      <c r="AE44" s="142" t="s">
        <v>234</v>
      </c>
      <c r="AF44" s="142" t="s">
        <v>235</v>
      </c>
    </row>
    <row r="45" spans="2:32" x14ac:dyDescent="0.2">
      <c r="B45" s="164" t="s">
        <v>89</v>
      </c>
      <c r="C45" s="164"/>
      <c r="D45" s="164"/>
      <c r="E45" s="164"/>
      <c r="F45" s="164"/>
      <c r="G45" s="142">
        <v>2021</v>
      </c>
      <c r="H45" s="142">
        <v>2022</v>
      </c>
      <c r="I45" s="142">
        <v>2023</v>
      </c>
      <c r="J45" s="142">
        <v>2024</v>
      </c>
      <c r="K45" s="142">
        <v>2025</v>
      </c>
      <c r="L45" s="142">
        <v>2026</v>
      </c>
      <c r="M45" s="142">
        <v>2027</v>
      </c>
      <c r="N45" s="142">
        <v>2028</v>
      </c>
      <c r="O45" s="142">
        <v>2029</v>
      </c>
      <c r="P45" s="142">
        <v>2030</v>
      </c>
      <c r="Q45" s="142">
        <v>2031</v>
      </c>
      <c r="R45" s="142">
        <v>2032</v>
      </c>
      <c r="S45" s="142">
        <v>2033</v>
      </c>
      <c r="T45" s="142">
        <v>2034</v>
      </c>
      <c r="U45" s="142">
        <v>2035</v>
      </c>
      <c r="V45" s="142">
        <v>2036</v>
      </c>
      <c r="W45" s="142">
        <v>2037</v>
      </c>
      <c r="X45" s="142">
        <v>2038</v>
      </c>
      <c r="Y45" s="142">
        <v>2039</v>
      </c>
      <c r="Z45" s="142">
        <v>2040</v>
      </c>
      <c r="AA45" s="142">
        <v>2041</v>
      </c>
      <c r="AB45" s="142">
        <v>2042</v>
      </c>
      <c r="AC45" s="142">
        <v>2043</v>
      </c>
      <c r="AD45" s="142">
        <v>2044</v>
      </c>
      <c r="AE45" s="142">
        <v>2045</v>
      </c>
      <c r="AF45" s="142">
        <v>2046</v>
      </c>
    </row>
    <row r="46" spans="2:32" x14ac:dyDescent="0.2">
      <c r="B46" s="161"/>
      <c r="C46" s="165"/>
      <c r="D46" s="165"/>
      <c r="E46" s="161"/>
      <c r="F46" s="161"/>
    </row>
    <row r="47" spans="2:32" ht="15.75" x14ac:dyDescent="0.25">
      <c r="B47" s="166" t="s">
        <v>101</v>
      </c>
      <c r="C47" s="167"/>
      <c r="D47" s="167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</row>
    <row r="48" spans="2:32" ht="15.75" x14ac:dyDescent="0.25">
      <c r="B48" s="168" t="s">
        <v>14</v>
      </c>
      <c r="C48" s="169" t="s">
        <v>13</v>
      </c>
      <c r="D48" s="169"/>
      <c r="E48" s="170" t="s">
        <v>22</v>
      </c>
      <c r="F48" s="170" t="s">
        <v>37</v>
      </c>
      <c r="G48" s="171" t="s">
        <v>103</v>
      </c>
      <c r="H48" s="171" t="s">
        <v>104</v>
      </c>
      <c r="I48" s="171" t="s">
        <v>105</v>
      </c>
      <c r="J48" s="171" t="s">
        <v>106</v>
      </c>
      <c r="K48" s="171" t="s">
        <v>107</v>
      </c>
      <c r="L48" s="171" t="s">
        <v>108</v>
      </c>
      <c r="M48" s="171" t="s">
        <v>109</v>
      </c>
      <c r="N48" s="171" t="s">
        <v>110</v>
      </c>
      <c r="O48" s="171" t="s">
        <v>111</v>
      </c>
      <c r="P48" s="171" t="s">
        <v>112</v>
      </c>
      <c r="Q48" s="171" t="s">
        <v>113</v>
      </c>
      <c r="R48" s="171" t="s">
        <v>114</v>
      </c>
      <c r="S48" s="171" t="s">
        <v>115</v>
      </c>
      <c r="T48" s="171" t="s">
        <v>116</v>
      </c>
      <c r="U48" s="171" t="s">
        <v>117</v>
      </c>
      <c r="V48" s="171" t="s">
        <v>118</v>
      </c>
      <c r="W48" s="171" t="s">
        <v>119</v>
      </c>
      <c r="X48" s="171" t="s">
        <v>120</v>
      </c>
      <c r="Y48" s="171" t="s">
        <v>121</v>
      </c>
      <c r="Z48" s="171" t="s">
        <v>122</v>
      </c>
      <c r="AA48" s="171" t="s">
        <v>123</v>
      </c>
      <c r="AB48" s="171" t="s">
        <v>124</v>
      </c>
      <c r="AC48" s="171" t="s">
        <v>125</v>
      </c>
      <c r="AD48" s="171" t="s">
        <v>126</v>
      </c>
      <c r="AE48" s="171" t="s">
        <v>127</v>
      </c>
      <c r="AF48" s="171" t="s">
        <v>153</v>
      </c>
    </row>
    <row r="49" spans="1:32" x14ac:dyDescent="0.2">
      <c r="A49" s="149"/>
      <c r="B49" s="172">
        <v>1</v>
      </c>
      <c r="C49" s="13" t="s">
        <v>96</v>
      </c>
      <c r="D49" s="164"/>
      <c r="E49" s="173" t="s">
        <v>35</v>
      </c>
      <c r="F49" s="17">
        <v>-146824864.83058929</v>
      </c>
      <c r="G49" s="16">
        <v>0</v>
      </c>
      <c r="H49" s="16">
        <v>-52750000</v>
      </c>
      <c r="I49" s="16">
        <v>-52750000</v>
      </c>
      <c r="J49" s="16">
        <v>-52750000</v>
      </c>
      <c r="K49" s="16">
        <v>-52750000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116180000</v>
      </c>
    </row>
    <row r="50" spans="1:32" x14ac:dyDescent="0.2">
      <c r="A50" s="149"/>
      <c r="B50" s="172">
        <v>2</v>
      </c>
      <c r="C50" s="13" t="s">
        <v>97</v>
      </c>
      <c r="D50" s="164"/>
      <c r="E50" s="173" t="s">
        <v>35</v>
      </c>
      <c r="F50" s="17">
        <v>-210723148.40101808</v>
      </c>
      <c r="G50" s="16">
        <v>0</v>
      </c>
      <c r="H50" s="16">
        <v>-75750000</v>
      </c>
      <c r="I50" s="16">
        <v>-75750000</v>
      </c>
      <c r="J50" s="16">
        <v>-75750000</v>
      </c>
      <c r="K50" s="16">
        <v>-75750000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167370000</v>
      </c>
    </row>
    <row r="51" spans="1:32" x14ac:dyDescent="0.2">
      <c r="A51" s="149"/>
      <c r="B51" s="172">
        <v>3</v>
      </c>
      <c r="C51" s="13" t="s">
        <v>98</v>
      </c>
      <c r="D51" s="164"/>
      <c r="E51" s="173" t="s">
        <v>35</v>
      </c>
      <c r="F51" s="17">
        <v>-273209175.12823516</v>
      </c>
      <c r="G51" s="16">
        <v>0</v>
      </c>
      <c r="H51" s="16">
        <v>-98250000</v>
      </c>
      <c r="I51" s="16">
        <v>-98250000</v>
      </c>
      <c r="J51" s="16">
        <v>-98250000</v>
      </c>
      <c r="K51" s="16">
        <v>-98250000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217550000</v>
      </c>
    </row>
    <row r="52" spans="1:32" x14ac:dyDescent="0.2">
      <c r="A52" s="149"/>
      <c r="B52" s="172">
        <v>4</v>
      </c>
      <c r="C52" s="13" t="s">
        <v>99</v>
      </c>
      <c r="D52" s="164"/>
      <c r="E52" s="173" t="s">
        <v>35</v>
      </c>
      <c r="F52" s="17">
        <v>-37359125.191602096</v>
      </c>
      <c r="G52" s="16">
        <v>0</v>
      </c>
      <c r="H52" s="16">
        <v>-16666666.666666666</v>
      </c>
      <c r="I52" s="16">
        <v>-16666666.666666666</v>
      </c>
      <c r="J52" s="16">
        <v>-16666666.666666666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21250000</v>
      </c>
    </row>
    <row r="53" spans="1:32" x14ac:dyDescent="0.2">
      <c r="A53" s="149"/>
      <c r="B53" s="172">
        <v>5</v>
      </c>
      <c r="C53" s="13" t="s">
        <v>100</v>
      </c>
      <c r="D53" s="164"/>
      <c r="E53" s="173" t="s">
        <v>35</v>
      </c>
      <c r="F53" s="17"/>
      <c r="G53" s="16" t="s">
        <v>240</v>
      </c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</row>
    <row r="54" spans="1:32" x14ac:dyDescent="0.2">
      <c r="B54" s="172">
        <v>6</v>
      </c>
      <c r="C54" s="13" t="s">
        <v>174</v>
      </c>
      <c r="D54" s="164"/>
      <c r="E54" s="173" t="s">
        <v>35</v>
      </c>
      <c r="F54" s="17"/>
      <c r="G54" s="16" t="s">
        <v>240</v>
      </c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</row>
    <row r="55" spans="1:32" x14ac:dyDescent="0.2">
      <c r="B55" s="161"/>
      <c r="C55" s="165"/>
      <c r="D55" s="165"/>
      <c r="E55" s="161"/>
      <c r="F55" s="126"/>
    </row>
    <row r="56" spans="1:32" ht="15.75" x14ac:dyDescent="0.25">
      <c r="B56" s="166" t="s">
        <v>203</v>
      </c>
      <c r="C56" s="167"/>
      <c r="D56" s="167"/>
      <c r="E56" s="10"/>
      <c r="F56" s="10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</row>
    <row r="57" spans="1:32" ht="15.75" x14ac:dyDescent="0.25">
      <c r="B57" s="168" t="s">
        <v>14</v>
      </c>
      <c r="C57" s="169" t="s">
        <v>13</v>
      </c>
      <c r="D57" s="169"/>
      <c r="E57" s="170" t="s">
        <v>22</v>
      </c>
      <c r="F57" s="170" t="s">
        <v>37</v>
      </c>
      <c r="G57" s="171" t="s">
        <v>103</v>
      </c>
      <c r="H57" s="171" t="s">
        <v>104</v>
      </c>
      <c r="I57" s="171" t="s">
        <v>105</v>
      </c>
      <c r="J57" s="171" t="s">
        <v>106</v>
      </c>
      <c r="K57" s="171" t="s">
        <v>107</v>
      </c>
      <c r="L57" s="171" t="s">
        <v>108</v>
      </c>
      <c r="M57" s="171" t="s">
        <v>109</v>
      </c>
      <c r="N57" s="171" t="s">
        <v>110</v>
      </c>
      <c r="O57" s="171" t="s">
        <v>111</v>
      </c>
      <c r="P57" s="171" t="s">
        <v>112</v>
      </c>
      <c r="Q57" s="171" t="s">
        <v>113</v>
      </c>
      <c r="R57" s="171" t="s">
        <v>114</v>
      </c>
      <c r="S57" s="171" t="s">
        <v>115</v>
      </c>
      <c r="T57" s="171" t="s">
        <v>116</v>
      </c>
      <c r="U57" s="171" t="s">
        <v>117</v>
      </c>
      <c r="V57" s="171" t="s">
        <v>118</v>
      </c>
      <c r="W57" s="171" t="s">
        <v>119</v>
      </c>
      <c r="X57" s="171" t="s">
        <v>120</v>
      </c>
      <c r="Y57" s="171" t="s">
        <v>121</v>
      </c>
      <c r="Z57" s="171" t="s">
        <v>122</v>
      </c>
      <c r="AA57" s="171" t="s">
        <v>123</v>
      </c>
      <c r="AB57" s="171" t="s">
        <v>124</v>
      </c>
      <c r="AC57" s="171" t="s">
        <v>125</v>
      </c>
      <c r="AD57" s="171" t="s">
        <v>126</v>
      </c>
      <c r="AE57" s="171" t="s">
        <v>127</v>
      </c>
      <c r="AF57" s="171" t="s">
        <v>153</v>
      </c>
    </row>
    <row r="58" spans="1:32" x14ac:dyDescent="0.2">
      <c r="A58" s="149"/>
      <c r="B58" s="172">
        <v>1</v>
      </c>
      <c r="C58" s="13" t="s">
        <v>96</v>
      </c>
      <c r="D58" s="164"/>
      <c r="E58" s="173" t="s">
        <v>35</v>
      </c>
      <c r="F58" s="17">
        <v>-20378268.720397383</v>
      </c>
      <c r="G58" s="16">
        <v>0</v>
      </c>
      <c r="H58" s="16">
        <v>0</v>
      </c>
      <c r="I58" s="16">
        <v>0</v>
      </c>
      <c r="J58" s="16">
        <v>0</v>
      </c>
      <c r="K58" s="16">
        <v>-2110000</v>
      </c>
      <c r="L58" s="16">
        <v>-2110000</v>
      </c>
      <c r="M58" s="16">
        <v>-2110000</v>
      </c>
      <c r="N58" s="16">
        <v>-2110000</v>
      </c>
      <c r="O58" s="16">
        <v>-2110000</v>
      </c>
      <c r="P58" s="16">
        <v>-2110000</v>
      </c>
      <c r="Q58" s="16">
        <v>-2110000</v>
      </c>
      <c r="R58" s="16">
        <v>-2110000</v>
      </c>
      <c r="S58" s="16">
        <v>-2110000</v>
      </c>
      <c r="T58" s="16">
        <v>-2110000</v>
      </c>
      <c r="U58" s="16">
        <v>-2110000</v>
      </c>
      <c r="V58" s="16">
        <v>-2110000</v>
      </c>
      <c r="W58" s="16">
        <v>-2110000</v>
      </c>
      <c r="X58" s="16">
        <v>-2110000</v>
      </c>
      <c r="Y58" s="16">
        <v>-2110000</v>
      </c>
      <c r="Z58" s="16">
        <v>-2110000</v>
      </c>
      <c r="AA58" s="16">
        <v>-2110000</v>
      </c>
      <c r="AB58" s="16">
        <v>-2110000</v>
      </c>
      <c r="AC58" s="16">
        <v>-2110000</v>
      </c>
      <c r="AD58" s="16">
        <v>-2110000</v>
      </c>
      <c r="AE58" s="16">
        <v>-2110000</v>
      </c>
      <c r="AF58" s="16">
        <v>-2110000</v>
      </c>
    </row>
    <row r="59" spans="1:32" x14ac:dyDescent="0.2">
      <c r="A59" s="149"/>
      <c r="B59" s="172">
        <v>2</v>
      </c>
      <c r="C59" s="13" t="s">
        <v>97</v>
      </c>
      <c r="D59" s="164"/>
      <c r="E59" s="173" t="s">
        <v>35</v>
      </c>
      <c r="F59" s="17">
        <v>-29263580.200381078</v>
      </c>
      <c r="G59" s="16">
        <v>0</v>
      </c>
      <c r="H59" s="16">
        <v>0</v>
      </c>
      <c r="I59" s="16">
        <v>0</v>
      </c>
      <c r="J59" s="16">
        <v>0</v>
      </c>
      <c r="K59" s="16">
        <v>-3030000</v>
      </c>
      <c r="L59" s="16">
        <v>-3030000</v>
      </c>
      <c r="M59" s="16">
        <v>-3030000</v>
      </c>
      <c r="N59" s="16">
        <v>-3030000</v>
      </c>
      <c r="O59" s="16">
        <v>-3030000</v>
      </c>
      <c r="P59" s="16">
        <v>-3030000</v>
      </c>
      <c r="Q59" s="16">
        <v>-3030000</v>
      </c>
      <c r="R59" s="16">
        <v>-3030000</v>
      </c>
      <c r="S59" s="16">
        <v>-3030000</v>
      </c>
      <c r="T59" s="16">
        <v>-3030000</v>
      </c>
      <c r="U59" s="16">
        <v>-3030000</v>
      </c>
      <c r="V59" s="16">
        <v>-3030000</v>
      </c>
      <c r="W59" s="16">
        <v>-3030000</v>
      </c>
      <c r="X59" s="16">
        <v>-3030000</v>
      </c>
      <c r="Y59" s="16">
        <v>-3030000</v>
      </c>
      <c r="Z59" s="16">
        <v>-3030000</v>
      </c>
      <c r="AA59" s="16">
        <v>-3030000</v>
      </c>
      <c r="AB59" s="16">
        <v>-3030000</v>
      </c>
      <c r="AC59" s="16">
        <v>-3030000</v>
      </c>
      <c r="AD59" s="16">
        <v>-3030000</v>
      </c>
      <c r="AE59" s="16">
        <v>-3030000</v>
      </c>
      <c r="AF59" s="16">
        <v>-3030000</v>
      </c>
    </row>
    <row r="60" spans="1:32" x14ac:dyDescent="0.2">
      <c r="A60" s="149"/>
      <c r="B60" s="172">
        <v>3</v>
      </c>
      <c r="C60" s="13" t="s">
        <v>98</v>
      </c>
      <c r="D60" s="164"/>
      <c r="E60" s="173" t="s">
        <v>35</v>
      </c>
      <c r="F60" s="17">
        <v>-37955732.735147744</v>
      </c>
      <c r="G60" s="16">
        <v>0</v>
      </c>
      <c r="H60" s="16">
        <v>0</v>
      </c>
      <c r="I60" s="16">
        <v>0</v>
      </c>
      <c r="J60" s="16">
        <v>0</v>
      </c>
      <c r="K60" s="16">
        <v>-3930000</v>
      </c>
      <c r="L60" s="16">
        <v>-3930000</v>
      </c>
      <c r="M60" s="16">
        <v>-3930000</v>
      </c>
      <c r="N60" s="16">
        <v>-3930000</v>
      </c>
      <c r="O60" s="16">
        <v>-3930000</v>
      </c>
      <c r="P60" s="16">
        <v>-3930000</v>
      </c>
      <c r="Q60" s="16">
        <v>-3930000</v>
      </c>
      <c r="R60" s="16">
        <v>-3930000</v>
      </c>
      <c r="S60" s="16">
        <v>-3930000</v>
      </c>
      <c r="T60" s="16">
        <v>-3930000</v>
      </c>
      <c r="U60" s="16">
        <v>-3930000</v>
      </c>
      <c r="V60" s="16">
        <v>-3930000</v>
      </c>
      <c r="W60" s="16">
        <v>-3930000</v>
      </c>
      <c r="X60" s="16">
        <v>-3930000</v>
      </c>
      <c r="Y60" s="16">
        <v>-3930000</v>
      </c>
      <c r="Z60" s="16">
        <v>-3930000</v>
      </c>
      <c r="AA60" s="16">
        <v>-3930000</v>
      </c>
      <c r="AB60" s="16">
        <v>-3930000</v>
      </c>
      <c r="AC60" s="16">
        <v>-3930000</v>
      </c>
      <c r="AD60" s="16">
        <v>-3930000</v>
      </c>
      <c r="AE60" s="16">
        <v>-3930000</v>
      </c>
      <c r="AF60" s="16">
        <v>-3930000</v>
      </c>
    </row>
    <row r="61" spans="1:32" x14ac:dyDescent="0.2">
      <c r="A61" s="149"/>
      <c r="B61" s="172">
        <v>4</v>
      </c>
      <c r="C61" s="13" t="s">
        <v>99</v>
      </c>
      <c r="D61" s="164"/>
      <c r="E61" s="173" t="s">
        <v>35</v>
      </c>
      <c r="F61" s="17">
        <v>-5226518.5098549332</v>
      </c>
      <c r="G61" s="16">
        <v>0</v>
      </c>
      <c r="H61" s="16">
        <v>0</v>
      </c>
      <c r="I61" s="16">
        <v>0</v>
      </c>
      <c r="J61" s="16">
        <v>-500000</v>
      </c>
      <c r="K61" s="16">
        <v>-500000</v>
      </c>
      <c r="L61" s="16">
        <v>-500000</v>
      </c>
      <c r="M61" s="16">
        <v>-500000</v>
      </c>
      <c r="N61" s="16">
        <v>-500000</v>
      </c>
      <c r="O61" s="16">
        <v>-500000</v>
      </c>
      <c r="P61" s="16">
        <v>-500000</v>
      </c>
      <c r="Q61" s="16">
        <v>-500000</v>
      </c>
      <c r="R61" s="16">
        <v>-500000</v>
      </c>
      <c r="S61" s="16">
        <v>-500000</v>
      </c>
      <c r="T61" s="16">
        <v>-500000</v>
      </c>
      <c r="U61" s="16">
        <v>-500000</v>
      </c>
      <c r="V61" s="16">
        <v>-500000</v>
      </c>
      <c r="W61" s="16">
        <v>-500000</v>
      </c>
      <c r="X61" s="16">
        <v>-500000</v>
      </c>
      <c r="Y61" s="16">
        <v>-500000</v>
      </c>
      <c r="Z61" s="16">
        <v>-500000</v>
      </c>
      <c r="AA61" s="16">
        <v>-500000</v>
      </c>
      <c r="AB61" s="16">
        <v>-500000</v>
      </c>
      <c r="AC61" s="16">
        <v>-500000</v>
      </c>
      <c r="AD61" s="16">
        <v>-500000</v>
      </c>
      <c r="AE61" s="16">
        <v>-500000</v>
      </c>
      <c r="AF61" s="16">
        <v>-500000</v>
      </c>
    </row>
    <row r="62" spans="1:32" x14ac:dyDescent="0.2">
      <c r="A62" s="149"/>
      <c r="B62" s="172">
        <v>5</v>
      </c>
      <c r="C62" s="13" t="s">
        <v>100</v>
      </c>
      <c r="D62" s="164"/>
      <c r="E62" s="173" t="s">
        <v>35</v>
      </c>
      <c r="F62" s="17"/>
      <c r="G62" s="16" t="s">
        <v>240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x14ac:dyDescent="0.2">
      <c r="A63" s="149"/>
      <c r="B63" s="172">
        <v>6</v>
      </c>
      <c r="C63" s="13" t="s">
        <v>174</v>
      </c>
      <c r="D63" s="164"/>
      <c r="E63" s="173" t="s">
        <v>35</v>
      </c>
      <c r="F63" s="17"/>
      <c r="G63" s="16" t="s">
        <v>240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x14ac:dyDescent="0.2">
      <c r="B64" s="161"/>
      <c r="C64" s="165"/>
      <c r="D64" s="165"/>
      <c r="E64" s="161"/>
      <c r="F64" s="126"/>
      <c r="H64" s="126"/>
      <c r="I64" s="126"/>
    </row>
    <row r="65" spans="1:32" ht="15.75" x14ac:dyDescent="0.25">
      <c r="B65" s="166" t="s">
        <v>190</v>
      </c>
      <c r="C65" s="167"/>
      <c r="D65" s="167"/>
      <c r="E65" s="10"/>
      <c r="F65" s="10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</row>
    <row r="66" spans="1:32" ht="15.75" x14ac:dyDescent="0.25">
      <c r="B66" s="168" t="s">
        <v>14</v>
      </c>
      <c r="C66" s="169" t="s">
        <v>13</v>
      </c>
      <c r="D66" s="169"/>
      <c r="E66" s="170" t="s">
        <v>22</v>
      </c>
      <c r="F66" s="170" t="s">
        <v>37</v>
      </c>
      <c r="G66" s="171" t="s">
        <v>103</v>
      </c>
      <c r="H66" s="171" t="s">
        <v>104</v>
      </c>
      <c r="I66" s="171" t="s">
        <v>105</v>
      </c>
      <c r="J66" s="171" t="s">
        <v>106</v>
      </c>
      <c r="K66" s="171" t="s">
        <v>107</v>
      </c>
      <c r="L66" s="171" t="s">
        <v>108</v>
      </c>
      <c r="M66" s="171" t="s">
        <v>109</v>
      </c>
      <c r="N66" s="171" t="s">
        <v>110</v>
      </c>
      <c r="O66" s="171" t="s">
        <v>111</v>
      </c>
      <c r="P66" s="171" t="s">
        <v>112</v>
      </c>
      <c r="Q66" s="171" t="s">
        <v>113</v>
      </c>
      <c r="R66" s="171" t="s">
        <v>114</v>
      </c>
      <c r="S66" s="171" t="s">
        <v>115</v>
      </c>
      <c r="T66" s="171" t="s">
        <v>116</v>
      </c>
      <c r="U66" s="171" t="s">
        <v>117</v>
      </c>
      <c r="V66" s="171" t="s">
        <v>118</v>
      </c>
      <c r="W66" s="171" t="s">
        <v>119</v>
      </c>
      <c r="X66" s="171" t="s">
        <v>120</v>
      </c>
      <c r="Y66" s="171" t="s">
        <v>121</v>
      </c>
      <c r="Z66" s="171" t="s">
        <v>122</v>
      </c>
      <c r="AA66" s="171" t="s">
        <v>123</v>
      </c>
      <c r="AB66" s="171" t="s">
        <v>124</v>
      </c>
      <c r="AC66" s="171" t="s">
        <v>125</v>
      </c>
      <c r="AD66" s="171" t="s">
        <v>126</v>
      </c>
      <c r="AE66" s="171" t="s">
        <v>127</v>
      </c>
      <c r="AF66" s="171" t="s">
        <v>153</v>
      </c>
    </row>
    <row r="67" spans="1:32" x14ac:dyDescent="0.2">
      <c r="B67" s="172">
        <v>1</v>
      </c>
      <c r="C67" s="13" t="s">
        <v>96</v>
      </c>
      <c r="D67" s="164"/>
      <c r="E67" s="173" t="s">
        <v>35</v>
      </c>
      <c r="F67" s="17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</row>
    <row r="68" spans="1:32" x14ac:dyDescent="0.2">
      <c r="B68" s="172">
        <v>2</v>
      </c>
      <c r="C68" s="13" t="s">
        <v>97</v>
      </c>
      <c r="D68" s="164"/>
      <c r="E68" s="173" t="s">
        <v>35</v>
      </c>
      <c r="F68" s="17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</row>
    <row r="69" spans="1:32" x14ac:dyDescent="0.2">
      <c r="B69" s="172">
        <v>3</v>
      </c>
      <c r="C69" s="13" t="s">
        <v>98</v>
      </c>
      <c r="D69" s="164"/>
      <c r="E69" s="173" t="s">
        <v>35</v>
      </c>
      <c r="F69" s="17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</row>
    <row r="70" spans="1:32" x14ac:dyDescent="0.2">
      <c r="B70" s="172">
        <v>4</v>
      </c>
      <c r="C70" s="13" t="s">
        <v>99</v>
      </c>
      <c r="D70" s="164"/>
      <c r="E70" s="173" t="s">
        <v>35</v>
      </c>
      <c r="F70" s="17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</row>
    <row r="71" spans="1:32" x14ac:dyDescent="0.2">
      <c r="B71" s="172">
        <v>5</v>
      </c>
      <c r="C71" s="13" t="s">
        <v>100</v>
      </c>
      <c r="D71" s="164"/>
      <c r="E71" s="173" t="s">
        <v>35</v>
      </c>
      <c r="F71" s="17"/>
      <c r="G71" s="16" t="s">
        <v>240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1:32" x14ac:dyDescent="0.2">
      <c r="B72" s="172">
        <v>6</v>
      </c>
      <c r="C72" s="13" t="s">
        <v>174</v>
      </c>
      <c r="D72" s="164"/>
      <c r="E72" s="173" t="s">
        <v>35</v>
      </c>
      <c r="F72" s="17"/>
      <c r="G72" s="16" t="s">
        <v>240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1:32" x14ac:dyDescent="0.2">
      <c r="B73" s="161"/>
      <c r="C73" s="165"/>
      <c r="D73" s="165"/>
      <c r="E73" s="161"/>
      <c r="F73" s="126"/>
      <c r="H73" s="126"/>
      <c r="I73" s="126"/>
    </row>
    <row r="74" spans="1:32" ht="21" x14ac:dyDescent="0.35">
      <c r="B74" s="162" t="s">
        <v>51</v>
      </c>
      <c r="C74" s="163"/>
      <c r="D74" s="163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</row>
    <row r="75" spans="1:32" x14ac:dyDescent="0.2">
      <c r="B75" s="161"/>
      <c r="C75" s="165"/>
      <c r="D75" s="165"/>
      <c r="E75" s="161"/>
      <c r="F75" s="161"/>
    </row>
    <row r="76" spans="1:32" ht="15.75" x14ac:dyDescent="0.25">
      <c r="B76" s="166" t="s">
        <v>66</v>
      </c>
      <c r="C76" s="167"/>
      <c r="D76" s="167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</row>
    <row r="77" spans="1:32" ht="15.75" x14ac:dyDescent="0.25">
      <c r="B77" s="168" t="s">
        <v>14</v>
      </c>
      <c r="C77" s="169" t="s">
        <v>13</v>
      </c>
      <c r="D77" s="169"/>
      <c r="E77" s="170" t="s">
        <v>22</v>
      </c>
      <c r="F77" s="170" t="s">
        <v>37</v>
      </c>
      <c r="G77" s="171" t="s">
        <v>103</v>
      </c>
      <c r="H77" s="171" t="s">
        <v>104</v>
      </c>
      <c r="I77" s="171" t="s">
        <v>105</v>
      </c>
      <c r="J77" s="171" t="s">
        <v>106</v>
      </c>
      <c r="K77" s="171" t="s">
        <v>107</v>
      </c>
      <c r="L77" s="171" t="s">
        <v>108</v>
      </c>
      <c r="M77" s="171" t="s">
        <v>109</v>
      </c>
      <c r="N77" s="171" t="s">
        <v>110</v>
      </c>
      <c r="O77" s="171" t="s">
        <v>111</v>
      </c>
      <c r="P77" s="171" t="s">
        <v>112</v>
      </c>
      <c r="Q77" s="171" t="s">
        <v>113</v>
      </c>
      <c r="R77" s="171" t="s">
        <v>114</v>
      </c>
      <c r="S77" s="171" t="s">
        <v>115</v>
      </c>
      <c r="T77" s="171" t="s">
        <v>116</v>
      </c>
      <c r="U77" s="171" t="s">
        <v>117</v>
      </c>
      <c r="V77" s="171" t="s">
        <v>118</v>
      </c>
      <c r="W77" s="171" t="s">
        <v>119</v>
      </c>
      <c r="X77" s="171" t="s">
        <v>120</v>
      </c>
      <c r="Y77" s="171" t="s">
        <v>121</v>
      </c>
      <c r="Z77" s="171" t="s">
        <v>122</v>
      </c>
      <c r="AA77" s="171" t="s">
        <v>123</v>
      </c>
      <c r="AB77" s="171" t="s">
        <v>124</v>
      </c>
      <c r="AC77" s="171" t="s">
        <v>125</v>
      </c>
      <c r="AD77" s="171" t="s">
        <v>126</v>
      </c>
      <c r="AE77" s="171" t="s">
        <v>127</v>
      </c>
      <c r="AF77" s="171" t="s">
        <v>153</v>
      </c>
    </row>
    <row r="78" spans="1:32" x14ac:dyDescent="0.2">
      <c r="A78" s="149"/>
      <c r="B78" s="172">
        <v>1</v>
      </c>
      <c r="C78" s="13" t="s">
        <v>96</v>
      </c>
      <c r="D78" s="164"/>
      <c r="E78" s="173" t="s">
        <v>35</v>
      </c>
      <c r="F78" s="17">
        <v>-8132390.4421670297</v>
      </c>
      <c r="G78" s="16">
        <v>0</v>
      </c>
      <c r="H78" s="16">
        <v>-52119.590803159168</v>
      </c>
      <c r="I78" s="16">
        <v>-427508.62179549003</v>
      </c>
      <c r="J78" s="16">
        <v>-2695379.3830605624</v>
      </c>
      <c r="K78" s="16">
        <v>-8429079.1255527399</v>
      </c>
      <c r="L78" s="16">
        <v>-99.335582605497279</v>
      </c>
      <c r="M78" s="16">
        <v>-363125.98135104973</v>
      </c>
      <c r="N78" s="16">
        <v>-111.64028824800992</v>
      </c>
      <c r="O78" s="16">
        <v>-117.85541571771228</v>
      </c>
      <c r="P78" s="16">
        <v>-124.79305229859452</v>
      </c>
      <c r="Q78" s="16">
        <v>-284519.14346567431</v>
      </c>
      <c r="R78" s="16">
        <v>-140.30385621748545</v>
      </c>
      <c r="S78" s="16">
        <v>-148.18370463032659</v>
      </c>
      <c r="T78" s="16">
        <v>-156.99907281025992</v>
      </c>
      <c r="U78" s="16">
        <v>-169.95768581301124</v>
      </c>
      <c r="V78" s="16">
        <v>715477.20861868141</v>
      </c>
      <c r="W78" s="16">
        <v>4821.0284038072787</v>
      </c>
      <c r="X78" s="16">
        <v>816830.1527979041</v>
      </c>
      <c r="Y78" s="16">
        <v>-207.98542050826762</v>
      </c>
      <c r="Z78" s="16">
        <v>467805.19381143374</v>
      </c>
      <c r="AA78" s="16">
        <v>506531.91837160371</v>
      </c>
      <c r="AB78" s="16">
        <v>-703777.80249447271</v>
      </c>
      <c r="AC78" s="16">
        <v>394161.78157295956</v>
      </c>
      <c r="AD78" s="16">
        <v>216761.4928765739</v>
      </c>
      <c r="AE78" s="16">
        <v>1297812.4374927105</v>
      </c>
      <c r="AF78" s="16">
        <v>-40340.335149103528</v>
      </c>
    </row>
    <row r="79" spans="1:32" x14ac:dyDescent="0.2">
      <c r="A79" s="149"/>
      <c r="B79" s="172">
        <v>2</v>
      </c>
      <c r="C79" s="13" t="s">
        <v>97</v>
      </c>
      <c r="D79" s="164"/>
      <c r="E79" s="173" t="s">
        <v>35</v>
      </c>
      <c r="F79" s="17">
        <v>-8132390.4421670297</v>
      </c>
      <c r="G79" s="16">
        <v>0</v>
      </c>
      <c r="H79" s="16">
        <v>-52119.590803159168</v>
      </c>
      <c r="I79" s="16">
        <v>-427508.62179549003</v>
      </c>
      <c r="J79" s="16">
        <v>-2695379.3830605624</v>
      </c>
      <c r="K79" s="16">
        <v>-8429079.1255527399</v>
      </c>
      <c r="L79" s="16">
        <v>-99.335582605497279</v>
      </c>
      <c r="M79" s="16">
        <v>-363125.98135104973</v>
      </c>
      <c r="N79" s="16">
        <v>-111.64028824800992</v>
      </c>
      <c r="O79" s="16">
        <v>-117.85541571771228</v>
      </c>
      <c r="P79" s="16">
        <v>-124.79305229859452</v>
      </c>
      <c r="Q79" s="16">
        <v>-284519.14346567431</v>
      </c>
      <c r="R79" s="16">
        <v>-140.30385621748545</v>
      </c>
      <c r="S79" s="16">
        <v>-148.18370463032659</v>
      </c>
      <c r="T79" s="16">
        <v>-156.99907281025992</v>
      </c>
      <c r="U79" s="16">
        <v>-169.95768581301124</v>
      </c>
      <c r="V79" s="16">
        <v>715477.20861868141</v>
      </c>
      <c r="W79" s="16">
        <v>4821.0284038072787</v>
      </c>
      <c r="X79" s="16">
        <v>816830.1527979041</v>
      </c>
      <c r="Y79" s="16">
        <v>-207.98542050826762</v>
      </c>
      <c r="Z79" s="16">
        <v>467805.19381143374</v>
      </c>
      <c r="AA79" s="16">
        <v>506531.91837160371</v>
      </c>
      <c r="AB79" s="16">
        <v>-703777.80249447271</v>
      </c>
      <c r="AC79" s="16">
        <v>394161.78157295956</v>
      </c>
      <c r="AD79" s="16">
        <v>216761.4928765739</v>
      </c>
      <c r="AE79" s="16">
        <v>1297812.4374927105</v>
      </c>
      <c r="AF79" s="16">
        <v>-40340.335149103528</v>
      </c>
    </row>
    <row r="80" spans="1:32" x14ac:dyDescent="0.2">
      <c r="A80" s="149"/>
      <c r="B80" s="172">
        <v>3</v>
      </c>
      <c r="C80" s="13" t="s">
        <v>98</v>
      </c>
      <c r="D80" s="164"/>
      <c r="E80" s="173" t="s">
        <v>35</v>
      </c>
      <c r="F80" s="17">
        <v>-8209775.7640447551</v>
      </c>
      <c r="G80" s="16">
        <v>0</v>
      </c>
      <c r="H80" s="16">
        <v>-52879.066169755708</v>
      </c>
      <c r="I80" s="16">
        <v>-430068.91216648708</v>
      </c>
      <c r="J80" s="16">
        <v>-2698363.8832145454</v>
      </c>
      <c r="K80" s="16">
        <v>-8478363.0095501021</v>
      </c>
      <c r="L80" s="16">
        <v>-90.487160208926156</v>
      </c>
      <c r="M80" s="16">
        <v>-363516.70126841357</v>
      </c>
      <c r="N80" s="16">
        <v>-101.64156302269049</v>
      </c>
      <c r="O80" s="16">
        <v>-107.34471075167797</v>
      </c>
      <c r="P80" s="16">
        <v>-113.7583927010952</v>
      </c>
      <c r="Q80" s="16">
        <v>-181062.62849480519</v>
      </c>
      <c r="R80" s="16">
        <v>-127.99732712169018</v>
      </c>
      <c r="S80" s="16">
        <v>-135.13438088380127</v>
      </c>
      <c r="T80" s="16">
        <v>-143.24904488032576</v>
      </c>
      <c r="U80" s="16">
        <v>-151.82055039211792</v>
      </c>
      <c r="V80" s="16">
        <v>743362.56393077318</v>
      </c>
      <c r="W80" s="16">
        <v>8263.4496971946137</v>
      </c>
      <c r="X80" s="16">
        <v>678378.69361869781</v>
      </c>
      <c r="Y80" s="16">
        <v>-189.0946496593449</v>
      </c>
      <c r="Z80" s="16">
        <v>460083.24438579613</v>
      </c>
      <c r="AA80" s="16">
        <v>522028.97230476682</v>
      </c>
      <c r="AB80" s="16">
        <v>-751291.58387244062</v>
      </c>
      <c r="AC80" s="16">
        <v>373366.99171739863</v>
      </c>
      <c r="AD80" s="16">
        <v>238756.66875907575</v>
      </c>
      <c r="AE80" s="16">
        <v>1121251.894913448</v>
      </c>
      <c r="AF80" s="16">
        <v>-39253.310783207919</v>
      </c>
    </row>
    <row r="81" spans="1:32" x14ac:dyDescent="0.2">
      <c r="A81" s="149"/>
      <c r="B81" s="172">
        <v>4</v>
      </c>
      <c r="C81" s="13" t="s">
        <v>99</v>
      </c>
      <c r="D81" s="164"/>
      <c r="E81" s="173" t="s">
        <v>35</v>
      </c>
      <c r="F81" s="17">
        <v>-3786736.5333162551</v>
      </c>
      <c r="G81" s="16">
        <v>0</v>
      </c>
      <c r="H81" s="16">
        <v>-13140.280922775448</v>
      </c>
      <c r="I81" s="16">
        <v>-104564.14022784321</v>
      </c>
      <c r="J81" s="16">
        <v>-1114166.3671224695</v>
      </c>
      <c r="K81" s="16">
        <v>-3533309.808123108</v>
      </c>
      <c r="L81" s="16">
        <v>33.072689279537897</v>
      </c>
      <c r="M81" s="16">
        <v>-183383.7128941929</v>
      </c>
      <c r="N81" s="16">
        <v>37.185694094637711</v>
      </c>
      <c r="O81" s="16">
        <v>39.270700403483431</v>
      </c>
      <c r="P81" s="16">
        <v>41.582504437571941</v>
      </c>
      <c r="Q81" s="16">
        <v>-100978.24045832132</v>
      </c>
      <c r="R81" s="16">
        <v>46.742855501329586</v>
      </c>
      <c r="S81" s="16">
        <v>49.388480360467639</v>
      </c>
      <c r="T81" s="16">
        <v>52.263988762288832</v>
      </c>
      <c r="U81" s="16">
        <v>54.437645317530752</v>
      </c>
      <c r="V81" s="16">
        <v>-16969.617700305022</v>
      </c>
      <c r="W81" s="16">
        <v>-4618.735949117272</v>
      </c>
      <c r="X81" s="16">
        <v>69279.024817131125</v>
      </c>
      <c r="Y81" s="16">
        <v>70.571554744152976</v>
      </c>
      <c r="Z81" s="16">
        <v>-34333.298419561834</v>
      </c>
      <c r="AA81" s="16">
        <v>22261.025272603547</v>
      </c>
      <c r="AB81" s="16">
        <v>-42071.675913075494</v>
      </c>
      <c r="AC81" s="16">
        <v>69031.709399688392</v>
      </c>
      <c r="AD81" s="16">
        <v>40033.962798958375</v>
      </c>
      <c r="AE81" s="16">
        <v>7420.5628769007126</v>
      </c>
      <c r="AF81" s="16">
        <v>-10603.76263602088</v>
      </c>
    </row>
    <row r="82" spans="1:32" x14ac:dyDescent="0.2">
      <c r="A82" s="149"/>
      <c r="B82" s="172">
        <v>5</v>
      </c>
      <c r="C82" s="13" t="s">
        <v>100</v>
      </c>
      <c r="D82" s="164"/>
      <c r="E82" s="173" t="s">
        <v>35</v>
      </c>
      <c r="F82" s="17"/>
      <c r="G82" s="16" t="s">
        <v>240</v>
      </c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</row>
    <row r="83" spans="1:32" x14ac:dyDescent="0.2">
      <c r="A83" s="149"/>
      <c r="B83" s="172">
        <v>6</v>
      </c>
      <c r="C83" s="13" t="s">
        <v>174</v>
      </c>
      <c r="D83" s="164"/>
      <c r="E83" s="173" t="s">
        <v>35</v>
      </c>
      <c r="F83" s="17"/>
      <c r="G83" s="16" t="s">
        <v>240</v>
      </c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</row>
    <row r="84" spans="1:32" x14ac:dyDescent="0.2">
      <c r="B84" s="161"/>
      <c r="C84" s="165"/>
      <c r="D84" s="165"/>
      <c r="E84" s="161"/>
      <c r="F84" s="126"/>
    </row>
    <row r="85" spans="1:32" ht="15.75" x14ac:dyDescent="0.25">
      <c r="B85" s="166" t="s">
        <v>60</v>
      </c>
      <c r="C85" s="167"/>
      <c r="D85" s="167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</row>
    <row r="86" spans="1:32" ht="15.75" x14ac:dyDescent="0.25">
      <c r="B86" s="168" t="s">
        <v>14</v>
      </c>
      <c r="C86" s="169" t="s">
        <v>13</v>
      </c>
      <c r="D86" s="169"/>
      <c r="E86" s="170" t="s">
        <v>22</v>
      </c>
      <c r="F86" s="170" t="s">
        <v>37</v>
      </c>
      <c r="G86" s="171" t="s">
        <v>103</v>
      </c>
      <c r="H86" s="171" t="s">
        <v>104</v>
      </c>
      <c r="I86" s="171" t="s">
        <v>105</v>
      </c>
      <c r="J86" s="171" t="s">
        <v>106</v>
      </c>
      <c r="K86" s="171" t="s">
        <v>107</v>
      </c>
      <c r="L86" s="171" t="s">
        <v>108</v>
      </c>
      <c r="M86" s="171" t="s">
        <v>109</v>
      </c>
      <c r="N86" s="171" t="s">
        <v>110</v>
      </c>
      <c r="O86" s="171" t="s">
        <v>111</v>
      </c>
      <c r="P86" s="171" t="s">
        <v>112</v>
      </c>
      <c r="Q86" s="171" t="s">
        <v>113</v>
      </c>
      <c r="R86" s="171" t="s">
        <v>114</v>
      </c>
      <c r="S86" s="171" t="s">
        <v>115</v>
      </c>
      <c r="T86" s="171" t="s">
        <v>116</v>
      </c>
      <c r="U86" s="171" t="s">
        <v>117</v>
      </c>
      <c r="V86" s="171" t="s">
        <v>118</v>
      </c>
      <c r="W86" s="171" t="s">
        <v>119</v>
      </c>
      <c r="X86" s="171" t="s">
        <v>120</v>
      </c>
      <c r="Y86" s="171" t="s">
        <v>121</v>
      </c>
      <c r="Z86" s="171" t="s">
        <v>122</v>
      </c>
      <c r="AA86" s="171" t="s">
        <v>123</v>
      </c>
      <c r="AB86" s="171" t="s">
        <v>124</v>
      </c>
      <c r="AC86" s="171" t="s">
        <v>125</v>
      </c>
      <c r="AD86" s="171" t="s">
        <v>126</v>
      </c>
      <c r="AE86" s="171" t="s">
        <v>127</v>
      </c>
      <c r="AF86" s="171" t="s">
        <v>153</v>
      </c>
    </row>
    <row r="87" spans="1:32" x14ac:dyDescent="0.2">
      <c r="B87" s="172">
        <v>1</v>
      </c>
      <c r="C87" s="13" t="s">
        <v>96</v>
      </c>
      <c r="D87" s="164"/>
      <c r="E87" s="173" t="s">
        <v>35</v>
      </c>
      <c r="F87" s="17">
        <v>26163456.968169417</v>
      </c>
      <c r="G87" s="16">
        <v>0</v>
      </c>
      <c r="H87" s="16">
        <v>-184.65727175278977</v>
      </c>
      <c r="I87" s="16">
        <v>10658075.438926451</v>
      </c>
      <c r="J87" s="16">
        <v>-553084.72453025565</v>
      </c>
      <c r="K87" s="16">
        <v>593136.36186045827</v>
      </c>
      <c r="L87" s="16">
        <v>12232838.484983107</v>
      </c>
      <c r="M87" s="16">
        <v>-5543244.2849904308</v>
      </c>
      <c r="N87" s="16">
        <v>338193.09805013239</v>
      </c>
      <c r="O87" s="16">
        <v>17969067.881002557</v>
      </c>
      <c r="P87" s="16">
        <v>16214442.40973627</v>
      </c>
      <c r="Q87" s="16">
        <v>-414327.86449182779</v>
      </c>
      <c r="R87" s="16">
        <v>-297201.29295390961</v>
      </c>
      <c r="S87" s="16">
        <v>-8667211.2176051494</v>
      </c>
      <c r="T87" s="16">
        <v>-8562742.8372056484</v>
      </c>
      <c r="U87" s="16">
        <v>-2639233.6416940428</v>
      </c>
      <c r="V87" s="16">
        <v>-5313634.298139493</v>
      </c>
      <c r="W87" s="16">
        <v>13123532.727432247</v>
      </c>
      <c r="X87" s="16">
        <v>-4556673.6985195056</v>
      </c>
      <c r="Y87" s="16">
        <v>2812074.0463914052</v>
      </c>
      <c r="Z87" s="16">
        <v>603218.00784624147</v>
      </c>
      <c r="AA87" s="16">
        <v>2048327.3661765945</v>
      </c>
      <c r="AB87" s="16">
        <v>-59344.702720709145</v>
      </c>
      <c r="AC87" s="16">
        <v>-2796062.222271204</v>
      </c>
      <c r="AD87" s="16">
        <v>-2538698.0652702386</v>
      </c>
      <c r="AE87" s="16">
        <v>432539.26642598538</v>
      </c>
      <c r="AF87" s="16">
        <v>-329987.02709942043</v>
      </c>
    </row>
    <row r="88" spans="1:32" x14ac:dyDescent="0.2">
      <c r="B88" s="172">
        <v>2</v>
      </c>
      <c r="C88" s="13" t="s">
        <v>97</v>
      </c>
      <c r="D88" s="164"/>
      <c r="E88" s="173" t="s">
        <v>35</v>
      </c>
      <c r="F88" s="17">
        <v>26163456.968169417</v>
      </c>
      <c r="G88" s="16">
        <v>0</v>
      </c>
      <c r="H88" s="16">
        <v>-184.65727175278977</v>
      </c>
      <c r="I88" s="16">
        <v>10658075.438926451</v>
      </c>
      <c r="J88" s="16">
        <v>-553084.72453025565</v>
      </c>
      <c r="K88" s="16">
        <v>593136.36186045827</v>
      </c>
      <c r="L88" s="16">
        <v>12232838.484983107</v>
      </c>
      <c r="M88" s="16">
        <v>-5543244.2849904308</v>
      </c>
      <c r="N88" s="16">
        <v>338193.09805013239</v>
      </c>
      <c r="O88" s="16">
        <v>17969067.881002557</v>
      </c>
      <c r="P88" s="16">
        <v>16214442.40973627</v>
      </c>
      <c r="Q88" s="16">
        <v>-414327.86449182779</v>
      </c>
      <c r="R88" s="16">
        <v>-297201.29295390961</v>
      </c>
      <c r="S88" s="16">
        <v>-8667211.2176051494</v>
      </c>
      <c r="T88" s="16">
        <v>-8562742.8372056484</v>
      </c>
      <c r="U88" s="16">
        <v>-2639233.6416940428</v>
      </c>
      <c r="V88" s="16">
        <v>-5313634.298139493</v>
      </c>
      <c r="W88" s="16">
        <v>13123532.727432247</v>
      </c>
      <c r="X88" s="16">
        <v>-4556673.6985195056</v>
      </c>
      <c r="Y88" s="16">
        <v>2812074.0463914052</v>
      </c>
      <c r="Z88" s="16">
        <v>603218.00784624147</v>
      </c>
      <c r="AA88" s="16">
        <v>2048327.3661765945</v>
      </c>
      <c r="AB88" s="16">
        <v>-59344.702720709145</v>
      </c>
      <c r="AC88" s="16">
        <v>-2796062.222271204</v>
      </c>
      <c r="AD88" s="16">
        <v>-2538698.0652702386</v>
      </c>
      <c r="AE88" s="16">
        <v>432539.26642598538</v>
      </c>
      <c r="AF88" s="16">
        <v>-329987.02709942043</v>
      </c>
    </row>
    <row r="89" spans="1:32" x14ac:dyDescent="0.2">
      <c r="B89" s="172">
        <v>3</v>
      </c>
      <c r="C89" s="13" t="s">
        <v>98</v>
      </c>
      <c r="D89" s="164"/>
      <c r="E89" s="173" t="s">
        <v>35</v>
      </c>
      <c r="F89" s="17">
        <v>26613632.2680704</v>
      </c>
      <c r="G89" s="16">
        <v>0</v>
      </c>
      <c r="H89" s="16">
        <v>-173.83981498013028</v>
      </c>
      <c r="I89" s="16">
        <v>10636518.294231303</v>
      </c>
      <c r="J89" s="16">
        <v>-391759.06959279714</v>
      </c>
      <c r="K89" s="16">
        <v>739142.76999473025</v>
      </c>
      <c r="L89" s="16">
        <v>11970549.630540371</v>
      </c>
      <c r="M89" s="16">
        <v>-6286925.8183679748</v>
      </c>
      <c r="N89" s="16">
        <v>863460.95695304393</v>
      </c>
      <c r="O89" s="16">
        <v>19411373.387009464</v>
      </c>
      <c r="P89" s="16">
        <v>15846804.56603984</v>
      </c>
      <c r="Q89" s="16">
        <v>-590006.9326383248</v>
      </c>
      <c r="R89" s="16">
        <v>-293571.85670393321</v>
      </c>
      <c r="S89" s="16">
        <v>-8039337.7900739517</v>
      </c>
      <c r="T89" s="16">
        <v>-8885909.6866212226</v>
      </c>
      <c r="U89" s="16">
        <v>-2981686.0124793691</v>
      </c>
      <c r="V89" s="16">
        <v>-6874753.6881217929</v>
      </c>
      <c r="W89" s="16">
        <v>13790169.527701188</v>
      </c>
      <c r="X89" s="16">
        <v>-3256860.2766159549</v>
      </c>
      <c r="Y89" s="16">
        <v>3088273.325747719</v>
      </c>
      <c r="Z89" s="16">
        <v>817868.20108926925</v>
      </c>
      <c r="AA89" s="16">
        <v>1873227.3207303118</v>
      </c>
      <c r="AB89" s="16">
        <v>-159405.72741132602</v>
      </c>
      <c r="AC89" s="16">
        <v>-3685174.9540351406</v>
      </c>
      <c r="AD89" s="16">
        <v>-2082242.1208829181</v>
      </c>
      <c r="AE89" s="16">
        <v>267631.00740966643</v>
      </c>
      <c r="AF89" s="16">
        <v>-318157.31522226566</v>
      </c>
    </row>
    <row r="90" spans="1:32" x14ac:dyDescent="0.2">
      <c r="B90" s="172">
        <v>4</v>
      </c>
      <c r="C90" s="13" t="s">
        <v>99</v>
      </c>
      <c r="D90" s="164"/>
      <c r="E90" s="173" t="s">
        <v>35</v>
      </c>
      <c r="F90" s="17">
        <v>1395517.9871459219</v>
      </c>
      <c r="G90" s="16">
        <v>0</v>
      </c>
      <c r="H90" s="16">
        <v>60.266330573525536</v>
      </c>
      <c r="I90" s="16">
        <v>973008.56688073918</v>
      </c>
      <c r="J90" s="16">
        <v>578275.9560762248</v>
      </c>
      <c r="K90" s="16">
        <v>700199.16784168838</v>
      </c>
      <c r="L90" s="16">
        <v>204124.89070633065</v>
      </c>
      <c r="M90" s="16">
        <v>622464.72241429857</v>
      </c>
      <c r="N90" s="16">
        <v>-1764079.9146430118</v>
      </c>
      <c r="O90" s="16">
        <v>1541266.6336608764</v>
      </c>
      <c r="P90" s="16">
        <v>-37226.047670988104</v>
      </c>
      <c r="Q90" s="16">
        <v>718458.15778215695</v>
      </c>
      <c r="R90" s="16">
        <v>-286787.28721417679</v>
      </c>
      <c r="S90" s="16">
        <v>-884805.68391481577</v>
      </c>
      <c r="T90" s="16">
        <v>674634.11947368621</v>
      </c>
      <c r="U90" s="16">
        <v>-249477.18154554375</v>
      </c>
      <c r="V90" s="16">
        <v>-1125035.6463919266</v>
      </c>
      <c r="W90" s="16">
        <v>-941338.62339099369</v>
      </c>
      <c r="X90" s="16">
        <v>1017867.4113186076</v>
      </c>
      <c r="Y90" s="16">
        <v>314455.32518506557</v>
      </c>
      <c r="Z90" s="16">
        <v>-389109.78850854648</v>
      </c>
      <c r="AA90" s="16">
        <v>-234599.74142892822</v>
      </c>
      <c r="AB90" s="16">
        <v>22589.73739752546</v>
      </c>
      <c r="AC90" s="16">
        <v>-553371.51730950922</v>
      </c>
      <c r="AD90" s="16">
        <v>304552.55703774351</v>
      </c>
      <c r="AE90" s="16">
        <v>-673281.94148773968</v>
      </c>
      <c r="AF90" s="16">
        <v>-62327.367086200975</v>
      </c>
    </row>
    <row r="91" spans="1:32" x14ac:dyDescent="0.2">
      <c r="B91" s="172">
        <v>5</v>
      </c>
      <c r="C91" s="13" t="s">
        <v>100</v>
      </c>
      <c r="D91" s="164"/>
      <c r="E91" s="173" t="s">
        <v>35</v>
      </c>
      <c r="F91" s="17"/>
      <c r="G91" s="16" t="s">
        <v>240</v>
      </c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x14ac:dyDescent="0.2">
      <c r="B92" s="172">
        <v>6</v>
      </c>
      <c r="C92" s="13" t="s">
        <v>174</v>
      </c>
      <c r="D92" s="164"/>
      <c r="E92" s="173" t="s">
        <v>35</v>
      </c>
      <c r="F92" s="17"/>
      <c r="G92" s="16" t="s">
        <v>240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x14ac:dyDescent="0.2">
      <c r="B93" s="161"/>
      <c r="C93" s="165"/>
      <c r="D93" s="165"/>
      <c r="E93" s="161"/>
      <c r="F93" s="126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</row>
    <row r="94" spans="1:32" ht="15.75" x14ac:dyDescent="0.25">
      <c r="B94" s="166" t="s">
        <v>27</v>
      </c>
      <c r="C94" s="167"/>
      <c r="D94" s="167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</row>
    <row r="95" spans="1:32" ht="15.75" x14ac:dyDescent="0.25">
      <c r="B95" s="168" t="s">
        <v>14</v>
      </c>
      <c r="C95" s="169" t="s">
        <v>13</v>
      </c>
      <c r="D95" s="169"/>
      <c r="E95" s="170" t="s">
        <v>22</v>
      </c>
      <c r="F95" s="170" t="s">
        <v>37</v>
      </c>
      <c r="G95" s="171" t="s">
        <v>103</v>
      </c>
      <c r="H95" s="171" t="s">
        <v>104</v>
      </c>
      <c r="I95" s="171" t="s">
        <v>105</v>
      </c>
      <c r="J95" s="171" t="s">
        <v>106</v>
      </c>
      <c r="K95" s="171" t="s">
        <v>107</v>
      </c>
      <c r="L95" s="171" t="s">
        <v>108</v>
      </c>
      <c r="M95" s="171" t="s">
        <v>109</v>
      </c>
      <c r="N95" s="171" t="s">
        <v>110</v>
      </c>
      <c r="O95" s="171" t="s">
        <v>111</v>
      </c>
      <c r="P95" s="171" t="s">
        <v>112</v>
      </c>
      <c r="Q95" s="171" t="s">
        <v>113</v>
      </c>
      <c r="R95" s="171" t="s">
        <v>114</v>
      </c>
      <c r="S95" s="171" t="s">
        <v>115</v>
      </c>
      <c r="T95" s="171" t="s">
        <v>116</v>
      </c>
      <c r="U95" s="171" t="s">
        <v>117</v>
      </c>
      <c r="V95" s="171" t="s">
        <v>118</v>
      </c>
      <c r="W95" s="171" t="s">
        <v>119</v>
      </c>
      <c r="X95" s="171" t="s">
        <v>120</v>
      </c>
      <c r="Y95" s="171" t="s">
        <v>121</v>
      </c>
      <c r="Z95" s="171" t="s">
        <v>122</v>
      </c>
      <c r="AA95" s="171" t="s">
        <v>123</v>
      </c>
      <c r="AB95" s="171" t="s">
        <v>124</v>
      </c>
      <c r="AC95" s="171" t="s">
        <v>125</v>
      </c>
      <c r="AD95" s="171" t="s">
        <v>126</v>
      </c>
      <c r="AE95" s="171" t="s">
        <v>127</v>
      </c>
      <c r="AF95" s="171" t="s">
        <v>153</v>
      </c>
    </row>
    <row r="96" spans="1:32" x14ac:dyDescent="0.2">
      <c r="B96" s="172">
        <v>1</v>
      </c>
      <c r="C96" s="13" t="s">
        <v>96</v>
      </c>
      <c r="D96" s="164"/>
      <c r="E96" s="173" t="s">
        <v>35</v>
      </c>
      <c r="F96" s="17">
        <v>71692503.215912715</v>
      </c>
      <c r="G96" s="16">
        <v>0</v>
      </c>
      <c r="H96" s="16">
        <v>874051.92809700966</v>
      </c>
      <c r="I96" s="16">
        <v>892194.16710525751</v>
      </c>
      <c r="J96" s="16">
        <v>-531173.39135980606</v>
      </c>
      <c r="K96" s="16">
        <v>6001970.1473554373</v>
      </c>
      <c r="L96" s="16">
        <v>13959634.820563376</v>
      </c>
      <c r="M96" s="16">
        <v>8518539.0865315199</v>
      </c>
      <c r="N96" s="16">
        <v>10725393.988428593</v>
      </c>
      <c r="O96" s="16">
        <v>8824600.159729898</v>
      </c>
      <c r="P96" s="16">
        <v>9672244.7803691626</v>
      </c>
      <c r="Q96" s="16">
        <v>13431693.095300078</v>
      </c>
      <c r="R96" s="16">
        <v>13009591.591222793</v>
      </c>
      <c r="S96" s="16">
        <v>12309184.329058021</v>
      </c>
      <c r="T96" s="16">
        <v>14193722.469333708</v>
      </c>
      <c r="U96" s="16">
        <v>14343550.177286863</v>
      </c>
      <c r="V96" s="16">
        <v>1503616.6176318526</v>
      </c>
      <c r="W96" s="16">
        <v>1794942.8613549769</v>
      </c>
      <c r="X96" s="16">
        <v>1010277.9461169839</v>
      </c>
      <c r="Y96" s="16">
        <v>946571.86716166139</v>
      </c>
      <c r="Z96" s="16">
        <v>-3772021.9517461658</v>
      </c>
      <c r="AA96" s="16">
        <v>-3118645.2452713847</v>
      </c>
      <c r="AB96" s="16">
        <v>-297205.92056521773</v>
      </c>
      <c r="AC96" s="16">
        <v>480248.08179223537</v>
      </c>
      <c r="AD96" s="16">
        <v>-140058.23284980655</v>
      </c>
      <c r="AE96" s="16">
        <v>732071.22041426599</v>
      </c>
      <c r="AF96" s="16">
        <v>4480829.2477008253</v>
      </c>
    </row>
    <row r="97" spans="2:32" x14ac:dyDescent="0.2">
      <c r="B97" s="172">
        <v>2</v>
      </c>
      <c r="C97" s="13" t="s">
        <v>97</v>
      </c>
      <c r="D97" s="164"/>
      <c r="E97" s="173" t="s">
        <v>35</v>
      </c>
      <c r="F97" s="17">
        <v>71692503.215912715</v>
      </c>
      <c r="G97" s="16">
        <v>0</v>
      </c>
      <c r="H97" s="16">
        <v>874051.92809700966</v>
      </c>
      <c r="I97" s="16">
        <v>892194.16710525751</v>
      </c>
      <c r="J97" s="16">
        <v>-531173.39135980606</v>
      </c>
      <c r="K97" s="16">
        <v>6001970.1473554373</v>
      </c>
      <c r="L97" s="16">
        <v>13959634.820563376</v>
      </c>
      <c r="M97" s="16">
        <v>8518539.0865315199</v>
      </c>
      <c r="N97" s="16">
        <v>10725393.988428593</v>
      </c>
      <c r="O97" s="16">
        <v>8824600.159729898</v>
      </c>
      <c r="P97" s="16">
        <v>9672244.7803691626</v>
      </c>
      <c r="Q97" s="16">
        <v>13431693.095300078</v>
      </c>
      <c r="R97" s="16">
        <v>13009591.591222793</v>
      </c>
      <c r="S97" s="16">
        <v>12309184.329058021</v>
      </c>
      <c r="T97" s="16">
        <v>14193722.469333708</v>
      </c>
      <c r="U97" s="16">
        <v>14343550.177286863</v>
      </c>
      <c r="V97" s="16">
        <v>1503616.6176318526</v>
      </c>
      <c r="W97" s="16">
        <v>1794942.8613549769</v>
      </c>
      <c r="X97" s="16">
        <v>1010277.9461169839</v>
      </c>
      <c r="Y97" s="16">
        <v>946571.86716166139</v>
      </c>
      <c r="Z97" s="16">
        <v>-3772021.9517461658</v>
      </c>
      <c r="AA97" s="16">
        <v>-3118645.2452713847</v>
      </c>
      <c r="AB97" s="16">
        <v>-297205.92056521773</v>
      </c>
      <c r="AC97" s="16">
        <v>480248.08179223537</v>
      </c>
      <c r="AD97" s="16">
        <v>-140058.23284980655</v>
      </c>
      <c r="AE97" s="16">
        <v>732071.22041426599</v>
      </c>
      <c r="AF97" s="16">
        <v>4480829.2477008253</v>
      </c>
    </row>
    <row r="98" spans="2:32" x14ac:dyDescent="0.2">
      <c r="B98" s="172">
        <v>3</v>
      </c>
      <c r="C98" s="13" t="s">
        <v>98</v>
      </c>
      <c r="D98" s="164"/>
      <c r="E98" s="173" t="s">
        <v>35</v>
      </c>
      <c r="F98" s="17">
        <v>78346472.611843154</v>
      </c>
      <c r="G98" s="16">
        <v>0</v>
      </c>
      <c r="H98" s="16">
        <v>903354.19665706158</v>
      </c>
      <c r="I98" s="16">
        <v>918915.24146234989</v>
      </c>
      <c r="J98" s="16">
        <v>-516405.30271708965</v>
      </c>
      <c r="K98" s="16">
        <v>6437847.233258903</v>
      </c>
      <c r="L98" s="16">
        <v>14946306.706186116</v>
      </c>
      <c r="M98" s="16">
        <v>9587846.9325938821</v>
      </c>
      <c r="N98" s="16">
        <v>11810274.659199655</v>
      </c>
      <c r="O98" s="16">
        <v>9266020.66641891</v>
      </c>
      <c r="P98" s="16">
        <v>10196419.886464059</v>
      </c>
      <c r="Q98" s="16">
        <v>14387112.326027095</v>
      </c>
      <c r="R98" s="16">
        <v>13774179.523327559</v>
      </c>
      <c r="S98" s="16">
        <v>13004265.786859512</v>
      </c>
      <c r="T98" s="16">
        <v>14729754.404244602</v>
      </c>
      <c r="U98" s="16">
        <v>15278561.745178133</v>
      </c>
      <c r="V98" s="16">
        <v>1964678.6263997257</v>
      </c>
      <c r="W98" s="16">
        <v>2223041.9222469926</v>
      </c>
      <c r="X98" s="16">
        <v>1322772.8774880171</v>
      </c>
      <c r="Y98" s="16">
        <v>1440742.2281264067</v>
      </c>
      <c r="Z98" s="16">
        <v>-3498421.8751410544</v>
      </c>
      <c r="AA98" s="16">
        <v>-2667836.3512936831</v>
      </c>
      <c r="AB98" s="16">
        <v>228944.6347489059</v>
      </c>
      <c r="AC98" s="16">
        <v>1672641.8528870046</v>
      </c>
      <c r="AD98" s="16">
        <v>428400.92586430907</v>
      </c>
      <c r="AE98" s="16">
        <v>1375635.5201962292</v>
      </c>
      <c r="AF98" s="16">
        <v>5087054.4031629711</v>
      </c>
    </row>
    <row r="99" spans="2:32" x14ac:dyDescent="0.2">
      <c r="B99" s="172">
        <v>4</v>
      </c>
      <c r="C99" s="13" t="s">
        <v>99</v>
      </c>
      <c r="D99" s="164"/>
      <c r="E99" s="173" t="s">
        <v>35</v>
      </c>
      <c r="F99" s="17">
        <v>7616147.2324521299</v>
      </c>
      <c r="G99" s="16">
        <v>0</v>
      </c>
      <c r="H99" s="16">
        <v>-49804.675551891327</v>
      </c>
      <c r="I99" s="16">
        <v>219149.72094070911</v>
      </c>
      <c r="J99" s="16">
        <v>780644.27560472488</v>
      </c>
      <c r="K99" s="16">
        <v>1352487.9230313301</v>
      </c>
      <c r="L99" s="16">
        <v>1429180.0660159588</v>
      </c>
      <c r="M99" s="16">
        <v>590994.80981492996</v>
      </c>
      <c r="N99" s="16">
        <v>1392482.2874765396</v>
      </c>
      <c r="O99" s="16">
        <v>1340697.9510154128</v>
      </c>
      <c r="P99" s="16">
        <v>828871.47452276945</v>
      </c>
      <c r="Q99" s="16">
        <v>911134.90793579817</v>
      </c>
      <c r="R99" s="16">
        <v>951856.21530103683</v>
      </c>
      <c r="S99" s="16">
        <v>1070608.684787333</v>
      </c>
      <c r="T99" s="16">
        <v>758261.68416339159</v>
      </c>
      <c r="U99" s="16">
        <v>533509.44535142183</v>
      </c>
      <c r="V99" s="16">
        <v>530104.42168310285</v>
      </c>
      <c r="W99" s="16">
        <v>635693.85721248388</v>
      </c>
      <c r="X99" s="16">
        <v>-270406.48774558306</v>
      </c>
      <c r="Y99" s="16">
        <v>344699.11685571074</v>
      </c>
      <c r="Z99" s="16">
        <v>-245992.78485763073</v>
      </c>
      <c r="AA99" s="16">
        <v>-594183.49549165368</v>
      </c>
      <c r="AB99" s="16">
        <v>-32876.339103072882</v>
      </c>
      <c r="AC99" s="16">
        <v>-136332.15382280946</v>
      </c>
      <c r="AD99" s="16">
        <v>-561496.32847681642</v>
      </c>
      <c r="AE99" s="16">
        <v>451375.51123383641</v>
      </c>
      <c r="AF99" s="16">
        <v>492914.21838109195</v>
      </c>
    </row>
    <row r="100" spans="2:32" x14ac:dyDescent="0.2">
      <c r="B100" s="172">
        <v>5</v>
      </c>
      <c r="C100" s="13" t="s">
        <v>100</v>
      </c>
      <c r="D100" s="164"/>
      <c r="E100" s="173" t="s">
        <v>35</v>
      </c>
      <c r="F100" s="17"/>
      <c r="G100" s="16" t="s">
        <v>240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2:32" x14ac:dyDescent="0.2">
      <c r="B101" s="172">
        <v>6</v>
      </c>
      <c r="C101" s="13" t="s">
        <v>174</v>
      </c>
      <c r="D101" s="164"/>
      <c r="E101" s="173" t="s">
        <v>35</v>
      </c>
      <c r="F101" s="17"/>
      <c r="G101" s="16" t="s">
        <v>240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2:32" x14ac:dyDescent="0.2">
      <c r="B102" s="161"/>
      <c r="C102" s="165"/>
      <c r="D102" s="165"/>
      <c r="E102" s="161"/>
      <c r="F102" s="126"/>
    </row>
    <row r="103" spans="2:32" ht="15.75" x14ac:dyDescent="0.25">
      <c r="B103" s="166" t="s">
        <v>29</v>
      </c>
      <c r="C103" s="167"/>
      <c r="D103" s="167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</row>
    <row r="104" spans="2:32" ht="15.75" x14ac:dyDescent="0.25">
      <c r="B104" s="168" t="s">
        <v>14</v>
      </c>
      <c r="C104" s="169" t="s">
        <v>13</v>
      </c>
      <c r="D104" s="169"/>
      <c r="E104" s="170" t="s">
        <v>22</v>
      </c>
      <c r="F104" s="170" t="s">
        <v>37</v>
      </c>
      <c r="G104" s="171" t="s">
        <v>103</v>
      </c>
      <c r="H104" s="171" t="s">
        <v>104</v>
      </c>
      <c r="I104" s="171" t="s">
        <v>105</v>
      </c>
      <c r="J104" s="171" t="s">
        <v>106</v>
      </c>
      <c r="K104" s="171" t="s">
        <v>107</v>
      </c>
      <c r="L104" s="171" t="s">
        <v>108</v>
      </c>
      <c r="M104" s="171" t="s">
        <v>109</v>
      </c>
      <c r="N104" s="171" t="s">
        <v>110</v>
      </c>
      <c r="O104" s="171" t="s">
        <v>111</v>
      </c>
      <c r="P104" s="171" t="s">
        <v>112</v>
      </c>
      <c r="Q104" s="171" t="s">
        <v>113</v>
      </c>
      <c r="R104" s="171" t="s">
        <v>114</v>
      </c>
      <c r="S104" s="171" t="s">
        <v>115</v>
      </c>
      <c r="T104" s="171" t="s">
        <v>116</v>
      </c>
      <c r="U104" s="171" t="s">
        <v>117</v>
      </c>
      <c r="V104" s="171" t="s">
        <v>118</v>
      </c>
      <c r="W104" s="171" t="s">
        <v>119</v>
      </c>
      <c r="X104" s="171" t="s">
        <v>120</v>
      </c>
      <c r="Y104" s="171" t="s">
        <v>121</v>
      </c>
      <c r="Z104" s="171" t="s">
        <v>122</v>
      </c>
      <c r="AA104" s="171" t="s">
        <v>123</v>
      </c>
      <c r="AB104" s="171" t="s">
        <v>124</v>
      </c>
      <c r="AC104" s="171" t="s">
        <v>125</v>
      </c>
      <c r="AD104" s="171" t="s">
        <v>126</v>
      </c>
      <c r="AE104" s="171" t="s">
        <v>127</v>
      </c>
      <c r="AF104" s="171" t="s">
        <v>153</v>
      </c>
    </row>
    <row r="105" spans="2:32" x14ac:dyDescent="0.2">
      <c r="B105" s="172">
        <v>1</v>
      </c>
      <c r="C105" s="13" t="s">
        <v>96</v>
      </c>
      <c r="D105" s="164"/>
      <c r="E105" s="173" t="s">
        <v>35</v>
      </c>
      <c r="F105" s="17">
        <v>836343.32777955534</v>
      </c>
      <c r="G105" s="16">
        <v>0</v>
      </c>
      <c r="H105" s="16">
        <v>-1939.7173143554828</v>
      </c>
      <c r="I105" s="16">
        <v>-23600.293111996034</v>
      </c>
      <c r="J105" s="16">
        <v>-9679.0008590704529</v>
      </c>
      <c r="K105" s="16">
        <v>-163275.20350651524</v>
      </c>
      <c r="L105" s="16">
        <v>-374.98597319756078</v>
      </c>
      <c r="M105" s="16">
        <v>-23341.23485293637</v>
      </c>
      <c r="N105" s="16">
        <v>-420.18688572860123</v>
      </c>
      <c r="O105" s="16">
        <v>-444.8768968315336</v>
      </c>
      <c r="P105" s="16">
        <v>-472.50121484867469</v>
      </c>
      <c r="Q105" s="16">
        <v>-506.66447074281098</v>
      </c>
      <c r="R105" s="16">
        <v>5811.2878210071694</v>
      </c>
      <c r="S105" s="16">
        <v>6332.9407708035187</v>
      </c>
      <c r="T105" s="16">
        <v>1985.5279103733992</v>
      </c>
      <c r="U105" s="16">
        <v>-20101.100819700532</v>
      </c>
      <c r="V105" s="16">
        <v>295877.69371173705</v>
      </c>
      <c r="W105" s="16">
        <v>30247.140594847733</v>
      </c>
      <c r="X105" s="16">
        <v>-2857473.2492626971</v>
      </c>
      <c r="Y105" s="16">
        <v>334920.55451640225</v>
      </c>
      <c r="Z105" s="16">
        <v>385048.53773321153</v>
      </c>
      <c r="AA105" s="16">
        <v>1308981.821556234</v>
      </c>
      <c r="AB105" s="16">
        <v>258358.286215459</v>
      </c>
      <c r="AC105" s="16">
        <v>1793382.2677597324</v>
      </c>
      <c r="AD105" s="16">
        <v>1940455.4963153247</v>
      </c>
      <c r="AE105" s="16">
        <v>272763.77511612419</v>
      </c>
      <c r="AF105" s="16">
        <v>707425.86397840502</v>
      </c>
    </row>
    <row r="106" spans="2:32" x14ac:dyDescent="0.2">
      <c r="B106" s="172">
        <v>2</v>
      </c>
      <c r="C106" s="13" t="s">
        <v>97</v>
      </c>
      <c r="D106" s="164"/>
      <c r="E106" s="173" t="s">
        <v>35</v>
      </c>
      <c r="F106" s="17">
        <v>836343.32777955534</v>
      </c>
      <c r="G106" s="16">
        <v>0</v>
      </c>
      <c r="H106" s="16">
        <v>-1939.7173143554828</v>
      </c>
      <c r="I106" s="16">
        <v>-23600.293111996034</v>
      </c>
      <c r="J106" s="16">
        <v>-9679.0008590704529</v>
      </c>
      <c r="K106" s="16">
        <v>-163275.20350651524</v>
      </c>
      <c r="L106" s="16">
        <v>-374.98597319756078</v>
      </c>
      <c r="M106" s="16">
        <v>-23341.23485293637</v>
      </c>
      <c r="N106" s="16">
        <v>-420.18688572860123</v>
      </c>
      <c r="O106" s="16">
        <v>-444.8768968315336</v>
      </c>
      <c r="P106" s="16">
        <v>-472.50121484867469</v>
      </c>
      <c r="Q106" s="16">
        <v>-506.66447074281098</v>
      </c>
      <c r="R106" s="16">
        <v>5811.2878210071694</v>
      </c>
      <c r="S106" s="16">
        <v>6332.9407708035187</v>
      </c>
      <c r="T106" s="16">
        <v>1985.5279103733992</v>
      </c>
      <c r="U106" s="16">
        <v>-20101.100819700532</v>
      </c>
      <c r="V106" s="16">
        <v>295877.69371173705</v>
      </c>
      <c r="W106" s="16">
        <v>30247.140594847733</v>
      </c>
      <c r="X106" s="16">
        <v>-2857473.2492626971</v>
      </c>
      <c r="Y106" s="16">
        <v>334920.55451640225</v>
      </c>
      <c r="Z106" s="16">
        <v>385048.53773321153</v>
      </c>
      <c r="AA106" s="16">
        <v>1308981.821556234</v>
      </c>
      <c r="AB106" s="16">
        <v>258358.286215459</v>
      </c>
      <c r="AC106" s="16">
        <v>1793382.2677597324</v>
      </c>
      <c r="AD106" s="16">
        <v>1940455.4963153247</v>
      </c>
      <c r="AE106" s="16">
        <v>272763.77511612419</v>
      </c>
      <c r="AF106" s="16">
        <v>707425.86397840502</v>
      </c>
    </row>
    <row r="107" spans="2:32" x14ac:dyDescent="0.2">
      <c r="B107" s="172">
        <v>3</v>
      </c>
      <c r="C107" s="13" t="s">
        <v>98</v>
      </c>
      <c r="D107" s="164"/>
      <c r="E107" s="173" t="s">
        <v>35</v>
      </c>
      <c r="F107" s="17">
        <v>859247.49592670402</v>
      </c>
      <c r="G107" s="16">
        <v>0</v>
      </c>
      <c r="H107" s="16">
        <v>-1956.1711732856274</v>
      </c>
      <c r="I107" s="16">
        <v>-23680.906439247759</v>
      </c>
      <c r="J107" s="16">
        <v>-9713.8984804592037</v>
      </c>
      <c r="K107" s="16">
        <v>-169105.98139612359</v>
      </c>
      <c r="L107" s="16">
        <v>-365.09862812025875</v>
      </c>
      <c r="M107" s="16">
        <v>-23328.808583018174</v>
      </c>
      <c r="N107" s="16">
        <v>-404.60882409852695</v>
      </c>
      <c r="O107" s="16">
        <v>-431.3317088884703</v>
      </c>
      <c r="P107" s="16">
        <v>-462.17398422291018</v>
      </c>
      <c r="Q107" s="16">
        <v>-504.19082079901</v>
      </c>
      <c r="R107" s="16">
        <v>6692.3537399580409</v>
      </c>
      <c r="S107" s="16">
        <v>6537.0235500974286</v>
      </c>
      <c r="T107" s="16">
        <v>2012.2661346871464</v>
      </c>
      <c r="U107" s="16">
        <v>-19991.383366282556</v>
      </c>
      <c r="V107" s="16">
        <v>279775.95031100843</v>
      </c>
      <c r="W107" s="16">
        <v>12028.912032634369</v>
      </c>
      <c r="X107" s="16">
        <v>-2950752.3502872707</v>
      </c>
      <c r="Y107" s="16">
        <v>324599.45892377914</v>
      </c>
      <c r="Z107" s="16">
        <v>378317.45889512682</v>
      </c>
      <c r="AA107" s="16">
        <v>1362317.2216837017</v>
      </c>
      <c r="AB107" s="16">
        <v>321322.24787667999</v>
      </c>
      <c r="AC107" s="16">
        <v>1996510.4161614133</v>
      </c>
      <c r="AD107" s="16">
        <v>1849707.4832369438</v>
      </c>
      <c r="AE107" s="16">
        <v>215290.80640363763</v>
      </c>
      <c r="AF107" s="16">
        <v>828898.7781951013</v>
      </c>
    </row>
    <row r="108" spans="2:32" x14ac:dyDescent="0.2">
      <c r="B108" s="172">
        <v>4</v>
      </c>
      <c r="C108" s="13" t="s">
        <v>99</v>
      </c>
      <c r="D108" s="164"/>
      <c r="E108" s="173" t="s">
        <v>35</v>
      </c>
      <c r="F108" s="17">
        <v>-32101.375374044408</v>
      </c>
      <c r="G108" s="16">
        <v>0</v>
      </c>
      <c r="H108" s="16">
        <v>-320.67509465051262</v>
      </c>
      <c r="I108" s="16">
        <v>-3983.4784673158169</v>
      </c>
      <c r="J108" s="16">
        <v>-2387.2133771738445</v>
      </c>
      <c r="K108" s="16">
        <v>-6622.7422118260292</v>
      </c>
      <c r="L108" s="16">
        <v>111.58342046922991</v>
      </c>
      <c r="M108" s="16">
        <v>-2407.886276407387</v>
      </c>
      <c r="N108" s="16">
        <v>125.26036645572103</v>
      </c>
      <c r="O108" s="16">
        <v>130.25800945872268</v>
      </c>
      <c r="P108" s="16">
        <v>135.9493163935727</v>
      </c>
      <c r="Q108" s="16">
        <v>139.65239697589016</v>
      </c>
      <c r="R108" s="16">
        <v>1472.6031016462716</v>
      </c>
      <c r="S108" s="16">
        <v>-2761.0363991927529</v>
      </c>
      <c r="T108" s="16">
        <v>11888.407034705788</v>
      </c>
      <c r="U108" s="16">
        <v>-3529.4935869265933</v>
      </c>
      <c r="V108" s="16">
        <v>20426.670064469392</v>
      </c>
      <c r="W108" s="16">
        <v>-17623.145764778194</v>
      </c>
      <c r="X108" s="16">
        <v>47756.286689884029</v>
      </c>
      <c r="Y108" s="16">
        <v>-7723.544249478161</v>
      </c>
      <c r="Z108" s="16">
        <v>-20395.313291458995</v>
      </c>
      <c r="AA108" s="16">
        <v>-44410.01880061518</v>
      </c>
      <c r="AB108" s="16">
        <v>-117144.83218067815</v>
      </c>
      <c r="AC108" s="16">
        <v>28711.712496761233</v>
      </c>
      <c r="AD108" s="16">
        <v>331048.59721541428</v>
      </c>
      <c r="AE108" s="16">
        <v>-336010.33560962672</v>
      </c>
      <c r="AF108" s="16">
        <v>10105.838437289931</v>
      </c>
    </row>
    <row r="109" spans="2:32" x14ac:dyDescent="0.2">
      <c r="B109" s="172">
        <v>5</v>
      </c>
      <c r="C109" s="13" t="s">
        <v>100</v>
      </c>
      <c r="D109" s="164"/>
      <c r="E109" s="173" t="s">
        <v>35</v>
      </c>
      <c r="F109" s="17"/>
      <c r="G109" s="16" t="s">
        <v>240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2:32" x14ac:dyDescent="0.2">
      <c r="B110" s="172">
        <v>6</v>
      </c>
      <c r="C110" s="13" t="s">
        <v>174</v>
      </c>
      <c r="D110" s="164"/>
      <c r="E110" s="173" t="s">
        <v>35</v>
      </c>
      <c r="F110" s="17"/>
      <c r="G110" s="16" t="s">
        <v>240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2:32" x14ac:dyDescent="0.2">
      <c r="B111" s="161"/>
      <c r="C111" s="165"/>
      <c r="D111" s="165"/>
      <c r="E111" s="161"/>
      <c r="F111" s="126"/>
    </row>
    <row r="112" spans="2:32" ht="15.75" x14ac:dyDescent="0.25">
      <c r="B112" s="166" t="s">
        <v>78</v>
      </c>
      <c r="C112" s="167"/>
      <c r="D112" s="167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</row>
    <row r="113" spans="2:32" ht="15.75" x14ac:dyDescent="0.25">
      <c r="B113" s="168" t="s">
        <v>14</v>
      </c>
      <c r="C113" s="169" t="s">
        <v>13</v>
      </c>
      <c r="D113" s="169"/>
      <c r="E113" s="170" t="s">
        <v>22</v>
      </c>
      <c r="F113" s="170" t="s">
        <v>37</v>
      </c>
      <c r="G113" s="171" t="s">
        <v>103</v>
      </c>
      <c r="H113" s="171" t="s">
        <v>104</v>
      </c>
      <c r="I113" s="171" t="s">
        <v>105</v>
      </c>
      <c r="J113" s="171" t="s">
        <v>106</v>
      </c>
      <c r="K113" s="171" t="s">
        <v>107</v>
      </c>
      <c r="L113" s="171" t="s">
        <v>108</v>
      </c>
      <c r="M113" s="171" t="s">
        <v>109</v>
      </c>
      <c r="N113" s="171" t="s">
        <v>110</v>
      </c>
      <c r="O113" s="171" t="s">
        <v>111</v>
      </c>
      <c r="P113" s="171" t="s">
        <v>112</v>
      </c>
      <c r="Q113" s="171" t="s">
        <v>113</v>
      </c>
      <c r="R113" s="171" t="s">
        <v>114</v>
      </c>
      <c r="S113" s="171" t="s">
        <v>115</v>
      </c>
      <c r="T113" s="171" t="s">
        <v>116</v>
      </c>
      <c r="U113" s="171" t="s">
        <v>117</v>
      </c>
      <c r="V113" s="171" t="s">
        <v>118</v>
      </c>
      <c r="W113" s="171" t="s">
        <v>119</v>
      </c>
      <c r="X113" s="171" t="s">
        <v>120</v>
      </c>
      <c r="Y113" s="171" t="s">
        <v>121</v>
      </c>
      <c r="Z113" s="171" t="s">
        <v>122</v>
      </c>
      <c r="AA113" s="171" t="s">
        <v>123</v>
      </c>
      <c r="AB113" s="171" t="s">
        <v>124</v>
      </c>
      <c r="AC113" s="171" t="s">
        <v>125</v>
      </c>
      <c r="AD113" s="171" t="s">
        <v>126</v>
      </c>
      <c r="AE113" s="171" t="s">
        <v>127</v>
      </c>
      <c r="AF113" s="171" t="s">
        <v>153</v>
      </c>
    </row>
    <row r="114" spans="2:32" x14ac:dyDescent="0.2">
      <c r="B114" s="172">
        <v>1</v>
      </c>
      <c r="C114" s="13" t="s">
        <v>96</v>
      </c>
      <c r="D114" s="164"/>
      <c r="E114" s="173" t="s">
        <v>35</v>
      </c>
      <c r="F114" s="17">
        <v>109211646.82259329</v>
      </c>
      <c r="G114" s="16">
        <v>0</v>
      </c>
      <c r="H114" s="16">
        <v>14411625.024168849</v>
      </c>
      <c r="I114" s="16">
        <v>37701173.664024919</v>
      </c>
      <c r="J114" s="16">
        <v>25595521.021080405</v>
      </c>
      <c r="K114" s="16">
        <v>-17590010.391165435</v>
      </c>
      <c r="L114" s="16">
        <v>3077436.7410545945</v>
      </c>
      <c r="M114" s="16">
        <v>246336767.5419443</v>
      </c>
      <c r="N114" s="16">
        <v>-76522665.323048979</v>
      </c>
      <c r="O114" s="16">
        <v>-30308669.097378492</v>
      </c>
      <c r="P114" s="16">
        <v>-82192240.571086824</v>
      </c>
      <c r="Q114" s="16">
        <v>-103516737.93763947</v>
      </c>
      <c r="R114" s="16">
        <v>10377737.888432801</v>
      </c>
      <c r="S114" s="16">
        <v>166812226.32939145</v>
      </c>
      <c r="T114" s="16">
        <v>-38899094.176545024</v>
      </c>
      <c r="U114" s="16">
        <v>-46130229.644141555</v>
      </c>
      <c r="V114" s="16">
        <v>50504239.917010367</v>
      </c>
      <c r="W114" s="16">
        <v>19788416.572463512</v>
      </c>
      <c r="X114" s="16">
        <v>-5264528.3193004131</v>
      </c>
      <c r="Y114" s="16">
        <v>-34503762.378789723</v>
      </c>
      <c r="Z114" s="16">
        <v>22251708.932498902</v>
      </c>
      <c r="AA114" s="16">
        <v>-11787644.479274035</v>
      </c>
      <c r="AB114" s="16">
        <v>-10690164.105798244</v>
      </c>
      <c r="AC114" s="16">
        <v>1373018.8107247353</v>
      </c>
      <c r="AD114" s="16">
        <v>-10399196.331528038</v>
      </c>
      <c r="AE114" s="16">
        <v>-1775094.6375474334</v>
      </c>
      <c r="AF114" s="16">
        <v>-5073657.7096424401</v>
      </c>
    </row>
    <row r="115" spans="2:32" x14ac:dyDescent="0.2">
      <c r="B115" s="172">
        <v>2</v>
      </c>
      <c r="C115" s="13" t="s">
        <v>97</v>
      </c>
      <c r="D115" s="164"/>
      <c r="E115" s="173" t="s">
        <v>35</v>
      </c>
      <c r="F115" s="17">
        <v>109211646.82259329</v>
      </c>
      <c r="G115" s="16">
        <v>0</v>
      </c>
      <c r="H115" s="16">
        <v>14411625.024168849</v>
      </c>
      <c r="I115" s="16">
        <v>37701173.664024919</v>
      </c>
      <c r="J115" s="16">
        <v>25595521.021080405</v>
      </c>
      <c r="K115" s="16">
        <v>-17590010.391165435</v>
      </c>
      <c r="L115" s="16">
        <v>3077436.7410545945</v>
      </c>
      <c r="M115" s="16">
        <v>246336767.5419443</v>
      </c>
      <c r="N115" s="16">
        <v>-76522665.323048979</v>
      </c>
      <c r="O115" s="16">
        <v>-30308669.097378492</v>
      </c>
      <c r="P115" s="16">
        <v>-82192240.571086824</v>
      </c>
      <c r="Q115" s="16">
        <v>-103516737.93763947</v>
      </c>
      <c r="R115" s="16">
        <v>10377737.888432801</v>
      </c>
      <c r="S115" s="16">
        <v>166812226.32939145</v>
      </c>
      <c r="T115" s="16">
        <v>-38899094.176545024</v>
      </c>
      <c r="U115" s="16">
        <v>-46130229.644141555</v>
      </c>
      <c r="V115" s="16">
        <v>50504239.917010367</v>
      </c>
      <c r="W115" s="16">
        <v>19788416.572463512</v>
      </c>
      <c r="X115" s="16">
        <v>-5264528.3193004131</v>
      </c>
      <c r="Y115" s="16">
        <v>-34503762.378789723</v>
      </c>
      <c r="Z115" s="16">
        <v>22251708.932498902</v>
      </c>
      <c r="AA115" s="16">
        <v>-11787644.479274035</v>
      </c>
      <c r="AB115" s="16">
        <v>-10690164.105798244</v>
      </c>
      <c r="AC115" s="16">
        <v>1373018.8107247353</v>
      </c>
      <c r="AD115" s="16">
        <v>-10399196.331528038</v>
      </c>
      <c r="AE115" s="16">
        <v>-1775094.6375474334</v>
      </c>
      <c r="AF115" s="16">
        <v>-5073657.7096424401</v>
      </c>
    </row>
    <row r="116" spans="2:32" x14ac:dyDescent="0.2">
      <c r="B116" s="172">
        <v>3</v>
      </c>
      <c r="C116" s="13" t="s">
        <v>98</v>
      </c>
      <c r="D116" s="164"/>
      <c r="E116" s="173" t="s">
        <v>35</v>
      </c>
      <c r="F116" s="17">
        <v>116319282.43246315</v>
      </c>
      <c r="G116" s="16">
        <v>0</v>
      </c>
      <c r="H116" s="16">
        <v>14610148.028725684</v>
      </c>
      <c r="I116" s="16">
        <v>39145156.092468083</v>
      </c>
      <c r="J116" s="16">
        <v>25553463.179261267</v>
      </c>
      <c r="K116" s="16">
        <v>-18458098.112394661</v>
      </c>
      <c r="L116" s="16">
        <v>4546386.3284464777</v>
      </c>
      <c r="M116" s="16">
        <v>251079526.08019698</v>
      </c>
      <c r="N116" s="16">
        <v>-77369839.585834771</v>
      </c>
      <c r="O116" s="16">
        <v>-25897744.530287147</v>
      </c>
      <c r="P116" s="16">
        <v>-82287628.685699791</v>
      </c>
      <c r="Q116" s="16">
        <v>-108019317.64222917</v>
      </c>
      <c r="R116" s="16">
        <v>9216868.7377233207</v>
      </c>
      <c r="S116" s="16">
        <v>170960983.8175692</v>
      </c>
      <c r="T116" s="16">
        <v>-36241983.777145237</v>
      </c>
      <c r="U116" s="16">
        <v>-48261609.854702741</v>
      </c>
      <c r="V116" s="16">
        <v>48514466.130505025</v>
      </c>
      <c r="W116" s="16">
        <v>21958114.899978042</v>
      </c>
      <c r="X116" s="16">
        <v>-1450373.1093800068</v>
      </c>
      <c r="Y116" s="16">
        <v>-36996942.529885411</v>
      </c>
      <c r="Z116" s="16">
        <v>25409069.835460424</v>
      </c>
      <c r="AA116" s="16">
        <v>-13964107.606040984</v>
      </c>
      <c r="AB116" s="16">
        <v>-11744317.531741261</v>
      </c>
      <c r="AC116" s="16">
        <v>-259730.33597040176</v>
      </c>
      <c r="AD116" s="16">
        <v>-8114755.15743801</v>
      </c>
      <c r="AE116" s="16">
        <v>-1391815.9975994527</v>
      </c>
      <c r="AF116" s="16">
        <v>-4919357.6657693386</v>
      </c>
    </row>
    <row r="117" spans="2:32" x14ac:dyDescent="0.2">
      <c r="B117" s="172">
        <v>4</v>
      </c>
      <c r="C117" s="13" t="s">
        <v>99</v>
      </c>
      <c r="D117" s="164"/>
      <c r="E117" s="173" t="s">
        <v>35</v>
      </c>
      <c r="F117" s="17">
        <v>30711741.057631996</v>
      </c>
      <c r="G117" s="16">
        <v>0</v>
      </c>
      <c r="H117" s="16">
        <v>3601117.9724856615</v>
      </c>
      <c r="I117" s="16">
        <v>-4556689.792950958</v>
      </c>
      <c r="J117" s="16">
        <v>19100989.259658724</v>
      </c>
      <c r="K117" s="16">
        <v>1026123.6357511878</v>
      </c>
      <c r="L117" s="16">
        <v>1015736.212356925</v>
      </c>
      <c r="M117" s="16">
        <v>38358009.82229659</v>
      </c>
      <c r="N117" s="16">
        <v>-23810460.006491035</v>
      </c>
      <c r="O117" s="16">
        <v>-9366439.4273910522</v>
      </c>
      <c r="P117" s="16">
        <v>14577652.282262385</v>
      </c>
      <c r="Q117" s="16">
        <v>-4452048.9021337628</v>
      </c>
      <c r="R117" s="16">
        <v>-493459.54387390614</v>
      </c>
      <c r="S117" s="16">
        <v>9793477.8770561814</v>
      </c>
      <c r="T117" s="16">
        <v>3332792.8869441152</v>
      </c>
      <c r="U117" s="16">
        <v>4414367.8164318502</v>
      </c>
      <c r="V117" s="16">
        <v>-5806886.6847683191</v>
      </c>
      <c r="W117" s="16">
        <v>212413.64778345823</v>
      </c>
      <c r="X117" s="16">
        <v>2811922.9055171013</v>
      </c>
      <c r="Y117" s="16">
        <v>-8844142.4875816703</v>
      </c>
      <c r="Z117" s="16">
        <v>770125.5100018084</v>
      </c>
      <c r="AA117" s="16">
        <v>6506716.4296630621</v>
      </c>
      <c r="AB117" s="16">
        <v>-5008862.4034000635</v>
      </c>
      <c r="AC117" s="16">
        <v>-314913.1399564743</v>
      </c>
      <c r="AD117" s="16">
        <v>-1481356.0182028413</v>
      </c>
      <c r="AE117" s="16">
        <v>-584570.17542156577</v>
      </c>
      <c r="AF117" s="16">
        <v>217101.74205642939</v>
      </c>
    </row>
    <row r="118" spans="2:32" x14ac:dyDescent="0.2">
      <c r="B118" s="172">
        <v>5</v>
      </c>
      <c r="C118" s="13" t="s">
        <v>100</v>
      </c>
      <c r="D118" s="164"/>
      <c r="E118" s="173" t="s">
        <v>35</v>
      </c>
      <c r="F118" s="17"/>
      <c r="G118" s="16" t="s">
        <v>240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2:32" x14ac:dyDescent="0.2">
      <c r="B119" s="172">
        <v>6</v>
      </c>
      <c r="C119" s="13" t="s">
        <v>174</v>
      </c>
      <c r="D119" s="164"/>
      <c r="E119" s="173" t="s">
        <v>35</v>
      </c>
      <c r="F119" s="17"/>
      <c r="G119" s="16" t="s">
        <v>240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2:32" x14ac:dyDescent="0.2">
      <c r="F120" s="144"/>
    </row>
    <row r="121" spans="2:32" ht="15.75" x14ac:dyDescent="0.25">
      <c r="B121" s="166" t="s">
        <v>191</v>
      </c>
      <c r="C121" s="167"/>
      <c r="D121" s="167"/>
      <c r="E121" s="10"/>
      <c r="F121" s="10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</row>
    <row r="122" spans="2:32" ht="15.75" x14ac:dyDescent="0.25">
      <c r="B122" s="168" t="s">
        <v>14</v>
      </c>
      <c r="C122" s="169" t="s">
        <v>13</v>
      </c>
      <c r="D122" s="169"/>
      <c r="E122" s="170" t="s">
        <v>22</v>
      </c>
      <c r="F122" s="170" t="s">
        <v>37</v>
      </c>
      <c r="G122" s="171" t="s">
        <v>103</v>
      </c>
      <c r="H122" s="171" t="s">
        <v>104</v>
      </c>
      <c r="I122" s="171" t="s">
        <v>105</v>
      </c>
      <c r="J122" s="171" t="s">
        <v>106</v>
      </c>
      <c r="K122" s="171" t="s">
        <v>107</v>
      </c>
      <c r="L122" s="171" t="s">
        <v>108</v>
      </c>
      <c r="M122" s="171" t="s">
        <v>109</v>
      </c>
      <c r="N122" s="171" t="s">
        <v>110</v>
      </c>
      <c r="O122" s="171" t="s">
        <v>111</v>
      </c>
      <c r="P122" s="171" t="s">
        <v>112</v>
      </c>
      <c r="Q122" s="171" t="s">
        <v>113</v>
      </c>
      <c r="R122" s="171" t="s">
        <v>114</v>
      </c>
      <c r="S122" s="171" t="s">
        <v>115</v>
      </c>
      <c r="T122" s="171" t="s">
        <v>116</v>
      </c>
      <c r="U122" s="171" t="s">
        <v>117</v>
      </c>
      <c r="V122" s="171" t="s">
        <v>118</v>
      </c>
      <c r="W122" s="171" t="s">
        <v>119</v>
      </c>
      <c r="X122" s="171" t="s">
        <v>120</v>
      </c>
      <c r="Y122" s="171" t="s">
        <v>121</v>
      </c>
      <c r="Z122" s="171" t="s">
        <v>122</v>
      </c>
      <c r="AA122" s="171" t="s">
        <v>123</v>
      </c>
      <c r="AB122" s="171" t="s">
        <v>124</v>
      </c>
      <c r="AC122" s="171" t="s">
        <v>125</v>
      </c>
      <c r="AD122" s="171" t="s">
        <v>126</v>
      </c>
      <c r="AE122" s="171" t="s">
        <v>127</v>
      </c>
      <c r="AF122" s="171" t="s">
        <v>153</v>
      </c>
    </row>
    <row r="123" spans="2:32" x14ac:dyDescent="0.2">
      <c r="B123" s="172">
        <v>1</v>
      </c>
      <c r="C123" s="13" t="s">
        <v>96</v>
      </c>
      <c r="D123" s="164"/>
      <c r="E123" s="173" t="s">
        <v>35</v>
      </c>
      <c r="F123" s="17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</row>
    <row r="124" spans="2:32" x14ac:dyDescent="0.2">
      <c r="B124" s="172">
        <v>2</v>
      </c>
      <c r="C124" s="13" t="s">
        <v>97</v>
      </c>
      <c r="D124" s="164"/>
      <c r="E124" s="173" t="s">
        <v>35</v>
      </c>
      <c r="F124" s="17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</row>
    <row r="125" spans="2:32" x14ac:dyDescent="0.2">
      <c r="B125" s="172">
        <v>3</v>
      </c>
      <c r="C125" s="13" t="s">
        <v>98</v>
      </c>
      <c r="D125" s="164"/>
      <c r="E125" s="173" t="s">
        <v>35</v>
      </c>
      <c r="F125" s="17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</row>
    <row r="126" spans="2:32" x14ac:dyDescent="0.2">
      <c r="B126" s="172">
        <v>4</v>
      </c>
      <c r="C126" s="13" t="s">
        <v>99</v>
      </c>
      <c r="D126" s="164"/>
      <c r="E126" s="173" t="s">
        <v>35</v>
      </c>
      <c r="F126" s="17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</row>
    <row r="127" spans="2:32" x14ac:dyDescent="0.2">
      <c r="B127" s="172">
        <v>5</v>
      </c>
      <c r="C127" s="13" t="s">
        <v>100</v>
      </c>
      <c r="D127" s="164"/>
      <c r="E127" s="173" t="s">
        <v>35</v>
      </c>
      <c r="F127" s="17"/>
      <c r="G127" s="16" t="s">
        <v>240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2:32" x14ac:dyDescent="0.2">
      <c r="B128" s="172">
        <v>6</v>
      </c>
      <c r="C128" s="13" t="s">
        <v>174</v>
      </c>
      <c r="D128" s="164"/>
      <c r="E128" s="173" t="s">
        <v>35</v>
      </c>
      <c r="F128" s="17"/>
      <c r="G128" s="16" t="s">
        <v>240</v>
      </c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2:32" x14ac:dyDescent="0.2">
      <c r="B129" s="161"/>
      <c r="C129" s="165"/>
      <c r="D129" s="165"/>
      <c r="E129" s="161"/>
      <c r="F129" s="126"/>
      <c r="H129" s="126"/>
      <c r="I129" s="126"/>
    </row>
    <row r="130" spans="2:32" ht="15.75" x14ac:dyDescent="0.25">
      <c r="B130" s="166" t="s">
        <v>204</v>
      </c>
      <c r="C130" s="167"/>
      <c r="D130" s="167"/>
      <c r="E130" s="10"/>
      <c r="F130" s="10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</row>
    <row r="131" spans="2:32" ht="15.75" x14ac:dyDescent="0.25">
      <c r="B131" s="168" t="s">
        <v>14</v>
      </c>
      <c r="C131" s="169" t="s">
        <v>13</v>
      </c>
      <c r="D131" s="169"/>
      <c r="E131" s="170" t="s">
        <v>22</v>
      </c>
      <c r="F131" s="170" t="s">
        <v>37</v>
      </c>
      <c r="G131" s="171" t="s">
        <v>103</v>
      </c>
      <c r="H131" s="171" t="s">
        <v>104</v>
      </c>
      <c r="I131" s="171" t="s">
        <v>105</v>
      </c>
      <c r="J131" s="171" t="s">
        <v>106</v>
      </c>
      <c r="K131" s="171" t="s">
        <v>107</v>
      </c>
      <c r="L131" s="171" t="s">
        <v>108</v>
      </c>
      <c r="M131" s="171" t="s">
        <v>109</v>
      </c>
      <c r="N131" s="171" t="s">
        <v>110</v>
      </c>
      <c r="O131" s="171" t="s">
        <v>111</v>
      </c>
      <c r="P131" s="171" t="s">
        <v>112</v>
      </c>
      <c r="Q131" s="171" t="s">
        <v>113</v>
      </c>
      <c r="R131" s="171" t="s">
        <v>114</v>
      </c>
      <c r="S131" s="171" t="s">
        <v>115</v>
      </c>
      <c r="T131" s="171" t="s">
        <v>116</v>
      </c>
      <c r="U131" s="171" t="s">
        <v>117</v>
      </c>
      <c r="V131" s="171" t="s">
        <v>118</v>
      </c>
      <c r="W131" s="171" t="s">
        <v>119</v>
      </c>
      <c r="X131" s="171" t="s">
        <v>120</v>
      </c>
      <c r="Y131" s="171" t="s">
        <v>121</v>
      </c>
      <c r="Z131" s="171" t="s">
        <v>122</v>
      </c>
      <c r="AA131" s="171" t="s">
        <v>123</v>
      </c>
      <c r="AB131" s="171" t="s">
        <v>124</v>
      </c>
      <c r="AC131" s="171" t="s">
        <v>125</v>
      </c>
      <c r="AD131" s="171" t="s">
        <v>126</v>
      </c>
      <c r="AE131" s="171" t="s">
        <v>127</v>
      </c>
      <c r="AF131" s="171" t="s">
        <v>153</v>
      </c>
    </row>
    <row r="132" spans="2:32" x14ac:dyDescent="0.2">
      <c r="B132" s="172">
        <v>1</v>
      </c>
      <c r="C132" s="13" t="s">
        <v>96</v>
      </c>
      <c r="D132" s="164"/>
      <c r="E132" s="173" t="s">
        <v>35</v>
      </c>
      <c r="F132" s="17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</row>
    <row r="133" spans="2:32" x14ac:dyDescent="0.2">
      <c r="B133" s="172">
        <v>2</v>
      </c>
      <c r="C133" s="13" t="s">
        <v>97</v>
      </c>
      <c r="D133" s="164"/>
      <c r="E133" s="173" t="s">
        <v>35</v>
      </c>
      <c r="F133" s="17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</row>
    <row r="134" spans="2:32" x14ac:dyDescent="0.2">
      <c r="B134" s="172">
        <v>3</v>
      </c>
      <c r="C134" s="13" t="s">
        <v>98</v>
      </c>
      <c r="D134" s="164"/>
      <c r="E134" s="173" t="s">
        <v>35</v>
      </c>
      <c r="F134" s="17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</row>
    <row r="135" spans="2:32" x14ac:dyDescent="0.2">
      <c r="B135" s="172">
        <v>4</v>
      </c>
      <c r="C135" s="13" t="s">
        <v>99</v>
      </c>
      <c r="D135" s="164"/>
      <c r="E135" s="173" t="s">
        <v>35</v>
      </c>
      <c r="F135" s="17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</row>
    <row r="136" spans="2:32" x14ac:dyDescent="0.2">
      <c r="B136" s="172">
        <v>5</v>
      </c>
      <c r="C136" s="13" t="s">
        <v>100</v>
      </c>
      <c r="D136" s="164"/>
      <c r="E136" s="173" t="s">
        <v>35</v>
      </c>
      <c r="F136" s="17"/>
      <c r="G136" s="16" t="s">
        <v>240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2:32" x14ac:dyDescent="0.2">
      <c r="B137" s="172">
        <v>6</v>
      </c>
      <c r="C137" s="13" t="s">
        <v>174</v>
      </c>
      <c r="D137" s="164"/>
      <c r="E137" s="173" t="s">
        <v>35</v>
      </c>
      <c r="F137" s="17"/>
      <c r="G137" s="16" t="s">
        <v>240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2:32" x14ac:dyDescent="0.2">
      <c r="C138" s="161"/>
      <c r="D138" s="90"/>
      <c r="E138" s="161"/>
      <c r="H138" s="90"/>
      <c r="J138" s="90"/>
      <c r="L138" s="90"/>
    </row>
    <row r="139" spans="2:32" x14ac:dyDescent="0.2">
      <c r="C139" s="161"/>
      <c r="D139" s="90"/>
      <c r="E139" s="161"/>
      <c r="H139" s="90"/>
      <c r="J139" s="90"/>
      <c r="L139" s="90"/>
    </row>
    <row r="140" spans="2:32" x14ac:dyDescent="0.2">
      <c r="C140" s="161"/>
      <c r="D140" s="90"/>
      <c r="E140" s="161"/>
      <c r="H140" s="90"/>
      <c r="J140" s="90"/>
      <c r="L140" s="90"/>
    </row>
    <row r="141" spans="2:32" x14ac:dyDescent="0.2">
      <c r="C141" s="161"/>
      <c r="D141" s="90"/>
      <c r="E141" s="161"/>
      <c r="H141" s="90"/>
      <c r="J141" s="90"/>
      <c r="L141" s="90"/>
    </row>
    <row r="142" spans="2:32" x14ac:dyDescent="0.2">
      <c r="C142" s="161"/>
      <c r="D142" s="90"/>
      <c r="E142" s="161"/>
      <c r="H142" s="90"/>
      <c r="J142" s="90"/>
      <c r="L142" s="90"/>
    </row>
    <row r="143" spans="2:32" x14ac:dyDescent="0.2">
      <c r="C143" s="161"/>
      <c r="D143" s="90"/>
      <c r="E143" s="161"/>
      <c r="H143" s="90"/>
      <c r="J143" s="90"/>
      <c r="L143" s="90"/>
    </row>
    <row r="144" spans="2:32" x14ac:dyDescent="0.2">
      <c r="C144" s="161"/>
      <c r="D144" s="90"/>
      <c r="E144" s="161"/>
      <c r="H144" s="90"/>
      <c r="J144" s="90"/>
      <c r="L144" s="90"/>
    </row>
    <row r="145" spans="3:12" x14ac:dyDescent="0.2">
      <c r="C145" s="161"/>
      <c r="D145" s="90"/>
      <c r="E145" s="161"/>
      <c r="H145" s="90"/>
      <c r="J145" s="90"/>
      <c r="L145" s="90"/>
    </row>
    <row r="146" spans="3:12" x14ac:dyDescent="0.2">
      <c r="C146" s="161"/>
      <c r="D146" s="90"/>
      <c r="E146" s="161"/>
      <c r="H146" s="90"/>
      <c r="J146" s="90"/>
      <c r="L146" s="90"/>
    </row>
    <row r="147" spans="3:12" x14ac:dyDescent="0.2">
      <c r="C147" s="161"/>
      <c r="D147" s="90"/>
      <c r="E147" s="161"/>
      <c r="H147" s="90"/>
      <c r="J147" s="90"/>
      <c r="L147" s="90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F157"/>
  <sheetViews>
    <sheetView workbookViewId="0"/>
  </sheetViews>
  <sheetFormatPr defaultColWidth="9.21875" defaultRowHeight="15" x14ac:dyDescent="0.2"/>
  <cols>
    <col min="1" max="1" width="8.5546875" style="16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3.88671875" style="90" bestFit="1" customWidth="1"/>
    <col min="7" max="7" width="14.44140625" style="161" customWidth="1"/>
    <col min="8" max="32" width="13.6640625" style="161" customWidth="1"/>
    <col min="33" max="16384" width="9.21875" style="161"/>
  </cols>
  <sheetData>
    <row r="1" spans="2:32" ht="18" x14ac:dyDescent="0.25">
      <c r="B1" s="2" t="str">
        <f ca="1">MID(CELL("filename",B2),FIND("]",CELL("filename",B2))+1,256)</f>
        <v>Weighted 2</v>
      </c>
      <c r="C1" s="165"/>
      <c r="D1" s="165"/>
      <c r="E1" s="161"/>
      <c r="G1" s="180"/>
      <c r="H1" s="181"/>
      <c r="I1" s="160"/>
      <c r="J1" s="160"/>
    </row>
    <row r="2" spans="2:32" x14ac:dyDescent="0.2">
      <c r="B2" s="3" t="s">
        <v>48</v>
      </c>
      <c r="C2" s="165"/>
      <c r="D2" s="165"/>
      <c r="E2" s="161"/>
      <c r="F2" s="152"/>
      <c r="G2" s="152"/>
      <c r="H2" s="181"/>
      <c r="I2" s="181"/>
      <c r="J2" s="181"/>
      <c r="K2" s="181"/>
    </row>
    <row r="3" spans="2:32" ht="15.75" x14ac:dyDescent="0.25">
      <c r="B3" s="161"/>
      <c r="C3" s="165"/>
      <c r="D3" s="165"/>
      <c r="E3" s="161"/>
      <c r="F3" s="150"/>
      <c r="I3" s="14"/>
      <c r="J3" s="14"/>
    </row>
    <row r="4" spans="2:32" ht="15.75" x14ac:dyDescent="0.25">
      <c r="B4" s="161"/>
      <c r="C4" s="165"/>
      <c r="D4" s="165"/>
      <c r="E4" s="161"/>
      <c r="F4" s="150"/>
      <c r="I4" s="14"/>
      <c r="J4" s="14"/>
    </row>
    <row r="5" spans="2:32" ht="21" x14ac:dyDescent="0.35">
      <c r="B5" s="162" t="s">
        <v>71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</row>
    <row r="6" spans="2:32" ht="15.75" x14ac:dyDescent="0.25">
      <c r="B6" s="161"/>
      <c r="C6" s="165"/>
      <c r="D6" s="165"/>
      <c r="E6" s="161"/>
      <c r="F6" s="150"/>
      <c r="I6" s="14"/>
      <c r="J6" s="14"/>
    </row>
    <row r="7" spans="2:32" ht="15.75" x14ac:dyDescent="0.25">
      <c r="B7" s="58" t="s">
        <v>5</v>
      </c>
      <c r="C7" s="58"/>
      <c r="D7" s="58"/>
      <c r="E7" s="62" t="s">
        <v>7</v>
      </c>
      <c r="F7" s="62" t="s">
        <v>93</v>
      </c>
      <c r="G7" s="62" t="s">
        <v>39</v>
      </c>
      <c r="H7" s="62" t="s">
        <v>40</v>
      </c>
      <c r="I7" s="14"/>
      <c r="J7" s="14"/>
    </row>
    <row r="8" spans="2:32" x14ac:dyDescent="0.2">
      <c r="B8" s="59" t="s">
        <v>70</v>
      </c>
      <c r="C8" s="61"/>
      <c r="D8" s="61"/>
      <c r="E8" s="67" t="s">
        <v>57</v>
      </c>
      <c r="F8" s="213">
        <v>0.5</v>
      </c>
      <c r="G8" s="213">
        <v>0.25</v>
      </c>
      <c r="H8" s="213">
        <v>0.25</v>
      </c>
      <c r="I8" s="14"/>
      <c r="J8" s="14"/>
    </row>
    <row r="9" spans="2:32" ht="15.75" x14ac:dyDescent="0.25">
      <c r="B9" s="161"/>
      <c r="C9" s="165"/>
      <c r="D9" s="165"/>
      <c r="E9" s="161"/>
      <c r="F9" s="150"/>
      <c r="I9" s="14"/>
      <c r="J9" s="14"/>
    </row>
    <row r="10" spans="2:32" ht="21" x14ac:dyDescent="0.35">
      <c r="B10" s="162" t="s">
        <v>52</v>
      </c>
      <c r="C10" s="163"/>
      <c r="D10" s="163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</row>
    <row r="11" spans="2:32" x14ac:dyDescent="0.2">
      <c r="B11" s="161"/>
      <c r="C11" s="165"/>
      <c r="D11" s="165"/>
      <c r="E11" s="161"/>
      <c r="F11" s="175"/>
      <c r="I11" s="160"/>
      <c r="J11" s="176"/>
    </row>
    <row r="12" spans="2:32" ht="15.75" x14ac:dyDescent="0.25">
      <c r="B12" s="166" t="s">
        <v>36</v>
      </c>
      <c r="C12" s="167"/>
      <c r="D12" s="167"/>
      <c r="E12" s="10"/>
      <c r="F12" s="10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</row>
    <row r="13" spans="2:32" ht="15.75" x14ac:dyDescent="0.25">
      <c r="B13" s="168" t="s">
        <v>14</v>
      </c>
      <c r="C13" s="169" t="s">
        <v>13</v>
      </c>
      <c r="D13" s="169"/>
      <c r="E13" s="170" t="s">
        <v>22</v>
      </c>
      <c r="F13" s="170" t="s">
        <v>38</v>
      </c>
      <c r="G13" s="171" t="str">
        <f>G$55</f>
        <v>FY 2020-21</v>
      </c>
      <c r="H13" s="171" t="str">
        <f t="shared" ref="H13:AF13" si="0">H$55</f>
        <v>FY 2021-22</v>
      </c>
      <c r="I13" s="171" t="str">
        <f t="shared" si="0"/>
        <v>FY 2022-23</v>
      </c>
      <c r="J13" s="171" t="str">
        <f t="shared" si="0"/>
        <v>FY 2023-24</v>
      </c>
      <c r="K13" s="171" t="str">
        <f t="shared" si="0"/>
        <v>FY 2024-25</v>
      </c>
      <c r="L13" s="171" t="str">
        <f t="shared" si="0"/>
        <v>FY 2025-26</v>
      </c>
      <c r="M13" s="171" t="str">
        <f t="shared" si="0"/>
        <v>FY 2026-27</v>
      </c>
      <c r="N13" s="171" t="str">
        <f t="shared" si="0"/>
        <v>FY 2027-28</v>
      </c>
      <c r="O13" s="171" t="str">
        <f t="shared" si="0"/>
        <v>FY 2028-29</v>
      </c>
      <c r="P13" s="171" t="str">
        <f t="shared" si="0"/>
        <v>FY 2029-30</v>
      </c>
      <c r="Q13" s="171" t="str">
        <f t="shared" si="0"/>
        <v>FY 2030-31</v>
      </c>
      <c r="R13" s="171" t="str">
        <f t="shared" si="0"/>
        <v>FY 2031-32</v>
      </c>
      <c r="S13" s="171" t="str">
        <f t="shared" si="0"/>
        <v>FY 2032-33</v>
      </c>
      <c r="T13" s="171" t="str">
        <f t="shared" si="0"/>
        <v>FY 2033-34</v>
      </c>
      <c r="U13" s="171" t="str">
        <f t="shared" si="0"/>
        <v>FY 2034-35</v>
      </c>
      <c r="V13" s="171" t="str">
        <f t="shared" si="0"/>
        <v>FY 2035-36</v>
      </c>
      <c r="W13" s="171" t="str">
        <f t="shared" si="0"/>
        <v>FY 2036-37</v>
      </c>
      <c r="X13" s="171" t="str">
        <f t="shared" si="0"/>
        <v>FY 2037-38</v>
      </c>
      <c r="Y13" s="171" t="str">
        <f t="shared" si="0"/>
        <v>FY 2038-39</v>
      </c>
      <c r="Z13" s="171" t="str">
        <f t="shared" si="0"/>
        <v>FY 2039-40</v>
      </c>
      <c r="AA13" s="171" t="str">
        <f t="shared" si="0"/>
        <v>FY 2040-41</v>
      </c>
      <c r="AB13" s="171" t="str">
        <f t="shared" si="0"/>
        <v>FY 2041-42</v>
      </c>
      <c r="AC13" s="171" t="str">
        <f t="shared" si="0"/>
        <v>FY 2042-43</v>
      </c>
      <c r="AD13" s="171" t="str">
        <f t="shared" si="0"/>
        <v>FY 2043-44</v>
      </c>
      <c r="AE13" s="171" t="str">
        <f t="shared" si="0"/>
        <v>FY 2044-45</v>
      </c>
      <c r="AF13" s="171" t="str">
        <f t="shared" si="0"/>
        <v>FY 2045-46</v>
      </c>
    </row>
    <row r="14" spans="2:32" x14ac:dyDescent="0.2">
      <c r="B14" s="172">
        <f>+'Option inputs'!$B$15</f>
        <v>1</v>
      </c>
      <c r="C14" s="13" t="str">
        <f>+'Option inputs'!$C$15</f>
        <v>Option 1A</v>
      </c>
      <c r="D14" s="164"/>
      <c r="E14" s="173" t="s">
        <v>35</v>
      </c>
      <c r="F14" s="21">
        <f t="shared" ref="F14:U23" si="1">SUMIF($C$59:$C$71,$C14,F$59:F$71)+SUMIF($C$87:$C$150,$C14,F$87:F$150)</f>
        <v>33143849.91733402</v>
      </c>
      <c r="G14" s="20">
        <f t="shared" si="1"/>
        <v>0</v>
      </c>
      <c r="H14" s="20">
        <f t="shared" si="1"/>
        <v>-37521335.508451082</v>
      </c>
      <c r="I14" s="20">
        <f t="shared" si="1"/>
        <v>-1298323.2813685536</v>
      </c>
      <c r="J14" s="20">
        <f t="shared" si="1"/>
        <v>-31207729.806119252</v>
      </c>
      <c r="K14" s="20">
        <f t="shared" si="1"/>
        <v>-62258847.499718681</v>
      </c>
      <c r="L14" s="20">
        <f t="shared" si="1"/>
        <v>30853360.989328906</v>
      </c>
      <c r="M14" s="20">
        <f t="shared" si="1"/>
        <v>148996350.41384009</v>
      </c>
      <c r="N14" s="20">
        <f t="shared" si="1"/>
        <v>-35985202.080509126</v>
      </c>
      <c r="O14" s="20">
        <f t="shared" si="1"/>
        <v>11270180.800526034</v>
      </c>
      <c r="P14" s="20">
        <f t="shared" si="1"/>
        <v>-45745098.047059938</v>
      </c>
      <c r="Q14" s="20">
        <f t="shared" si="1"/>
        <v>-141575970.14819676</v>
      </c>
      <c r="R14" s="20">
        <f t="shared" si="1"/>
        <v>12748466.415045299</v>
      </c>
      <c r="S14" s="20">
        <f t="shared" si="1"/>
        <v>177318866.43643439</v>
      </c>
      <c r="T14" s="20">
        <f t="shared" si="1"/>
        <v>-24884040.297938578</v>
      </c>
      <c r="U14" s="20">
        <f t="shared" si="1"/>
        <v>37258752.655489534</v>
      </c>
      <c r="V14" s="20">
        <f t="shared" ref="V14:AF23" si="2">SUMIF($C$59:$C$71,$C14,V$59:V$71)+SUMIF($C$87:$C$150,$C14,V$87:V$150)</f>
        <v>18598353.801496007</v>
      </c>
      <c r="W14" s="20">
        <f t="shared" si="2"/>
        <v>30543104.576178972</v>
      </c>
      <c r="X14" s="20">
        <f t="shared" si="2"/>
        <v>20439476.981432065</v>
      </c>
      <c r="Y14" s="20">
        <f t="shared" si="2"/>
        <v>-22432523.312503543</v>
      </c>
      <c r="Z14" s="20">
        <f t="shared" si="2"/>
        <v>11307040.024843972</v>
      </c>
      <c r="AA14" s="20">
        <f t="shared" si="2"/>
        <v>-18659424.887554679</v>
      </c>
      <c r="AB14" s="20">
        <f t="shared" si="2"/>
        <v>-12442771.694736293</v>
      </c>
      <c r="AC14" s="20">
        <f t="shared" si="2"/>
        <v>12796325.321673736</v>
      </c>
      <c r="AD14" s="20">
        <f t="shared" si="2"/>
        <v>-11593621.111304406</v>
      </c>
      <c r="AE14" s="20">
        <f t="shared" si="2"/>
        <v>-2989510.7204005942</v>
      </c>
      <c r="AF14" s="20">
        <f t="shared" si="2"/>
        <v>118375534.18315884</v>
      </c>
    </row>
    <row r="15" spans="2:32" x14ac:dyDescent="0.2">
      <c r="B15" s="172">
        <f>+'Option inputs'!$B$16</f>
        <v>2</v>
      </c>
      <c r="C15" s="13" t="str">
        <f>+'Option inputs'!$C$16</f>
        <v>Option 1B</v>
      </c>
      <c r="D15" s="164"/>
      <c r="E15" s="173" t="s">
        <v>35</v>
      </c>
      <c r="F15" s="21">
        <f t="shared" si="1"/>
        <v>-30754433.653094769</v>
      </c>
      <c r="G15" s="20">
        <f t="shared" si="1"/>
        <v>0</v>
      </c>
      <c r="H15" s="20">
        <f t="shared" si="1"/>
        <v>-60521335.508451082</v>
      </c>
      <c r="I15" s="20">
        <f t="shared" si="1"/>
        <v>-24298323.281368554</v>
      </c>
      <c r="J15" s="20">
        <f t="shared" si="1"/>
        <v>-54207729.806119248</v>
      </c>
      <c r="K15" s="20">
        <f t="shared" si="1"/>
        <v>-85258847.499718681</v>
      </c>
      <c r="L15" s="20">
        <f t="shared" si="1"/>
        <v>30853360.989328906</v>
      </c>
      <c r="M15" s="20">
        <f t="shared" si="1"/>
        <v>148996350.41384009</v>
      </c>
      <c r="N15" s="20">
        <f t="shared" si="1"/>
        <v>-35985202.080509126</v>
      </c>
      <c r="O15" s="20">
        <f t="shared" si="1"/>
        <v>11270180.800526034</v>
      </c>
      <c r="P15" s="20">
        <f t="shared" si="1"/>
        <v>-45745098.047059938</v>
      </c>
      <c r="Q15" s="20">
        <f t="shared" si="1"/>
        <v>-141575970.14819676</v>
      </c>
      <c r="R15" s="20">
        <f t="shared" si="1"/>
        <v>12748466.415045299</v>
      </c>
      <c r="S15" s="20">
        <f t="shared" si="1"/>
        <v>177318866.43643439</v>
      </c>
      <c r="T15" s="20">
        <f t="shared" si="1"/>
        <v>-24884040.297938578</v>
      </c>
      <c r="U15" s="20">
        <f t="shared" si="1"/>
        <v>37258752.655489534</v>
      </c>
      <c r="V15" s="20">
        <f t="shared" si="2"/>
        <v>18598353.801496007</v>
      </c>
      <c r="W15" s="20">
        <f t="shared" si="2"/>
        <v>30543104.576178972</v>
      </c>
      <c r="X15" s="20">
        <f t="shared" si="2"/>
        <v>20439476.981432065</v>
      </c>
      <c r="Y15" s="20">
        <f t="shared" si="2"/>
        <v>-22432523.312503543</v>
      </c>
      <c r="Z15" s="20">
        <f t="shared" si="2"/>
        <v>11307040.024843972</v>
      </c>
      <c r="AA15" s="20">
        <f t="shared" si="2"/>
        <v>-18659424.887554679</v>
      </c>
      <c r="AB15" s="20">
        <f t="shared" si="2"/>
        <v>-12442771.694736293</v>
      </c>
      <c r="AC15" s="20">
        <f t="shared" si="2"/>
        <v>12796325.321673736</v>
      </c>
      <c r="AD15" s="20">
        <f t="shared" si="2"/>
        <v>-11593621.111304406</v>
      </c>
      <c r="AE15" s="20">
        <f t="shared" si="2"/>
        <v>-2989510.7204005942</v>
      </c>
      <c r="AF15" s="20">
        <f t="shared" si="2"/>
        <v>169565534.18315884</v>
      </c>
    </row>
    <row r="16" spans="2:32" x14ac:dyDescent="0.2">
      <c r="B16" s="172">
        <f>+'Option inputs'!$B$17</f>
        <v>3</v>
      </c>
      <c r="C16" s="13" t="str">
        <f>+'Option inputs'!$C$17</f>
        <v>Option 2</v>
      </c>
      <c r="D16" s="164"/>
      <c r="E16" s="173" t="s">
        <v>35</v>
      </c>
      <c r="F16" s="21">
        <f t="shared" si="1"/>
        <v>-80645907.267827809</v>
      </c>
      <c r="G16" s="20">
        <f t="shared" si="1"/>
        <v>0</v>
      </c>
      <c r="H16" s="20">
        <f t="shared" si="1"/>
        <v>-82800046.587345526</v>
      </c>
      <c r="I16" s="20">
        <f t="shared" si="1"/>
        <v>-45349207.469868869</v>
      </c>
      <c r="J16" s="20">
        <f t="shared" si="1"/>
        <v>-76540841.050916672</v>
      </c>
      <c r="K16" s="20">
        <f t="shared" si="1"/>
        <v>-107202200.18364641</v>
      </c>
      <c r="L16" s="20">
        <f t="shared" si="1"/>
        <v>33136700.48057827</v>
      </c>
      <c r="M16" s="20">
        <f t="shared" si="1"/>
        <v>151668841.47499821</v>
      </c>
      <c r="N16" s="20">
        <f t="shared" si="1"/>
        <v>-35325856.761916287</v>
      </c>
      <c r="O16" s="20">
        <f t="shared" si="1"/>
        <v>17117370.215480991</v>
      </c>
      <c r="P16" s="20">
        <f t="shared" si="1"/>
        <v>-46916999.135100931</v>
      </c>
      <c r="Q16" s="20">
        <f t="shared" si="1"/>
        <v>-145525246.34716287</v>
      </c>
      <c r="R16" s="20">
        <f t="shared" si="1"/>
        <v>13443224.532986782</v>
      </c>
      <c r="S16" s="20">
        <f t="shared" si="1"/>
        <v>181273517.66076675</v>
      </c>
      <c r="T16" s="20">
        <f t="shared" si="1"/>
        <v>-21980792.745893545</v>
      </c>
      <c r="U16" s="20">
        <f t="shared" si="1"/>
        <v>37574782.632219762</v>
      </c>
      <c r="V16" s="20">
        <f t="shared" si="2"/>
        <v>14718673.810335547</v>
      </c>
      <c r="W16" s="20">
        <f t="shared" si="2"/>
        <v>34725933.179747902</v>
      </c>
      <c r="X16" s="20">
        <f t="shared" si="2"/>
        <v>24642319.261194915</v>
      </c>
      <c r="Y16" s="20">
        <f t="shared" si="2"/>
        <v>-24581884.78335201</v>
      </c>
      <c r="Z16" s="20">
        <f t="shared" si="2"/>
        <v>15430981.900837706</v>
      </c>
      <c r="AA16" s="20">
        <f t="shared" si="2"/>
        <v>-19606710.480496638</v>
      </c>
      <c r="AB16" s="20">
        <f t="shared" si="2"/>
        <v>-13259275.244272741</v>
      </c>
      <c r="AC16" s="20">
        <f t="shared" si="2"/>
        <v>10542237.194449425</v>
      </c>
      <c r="AD16" s="20">
        <f t="shared" si="2"/>
        <v>-7846667.2393312324</v>
      </c>
      <c r="AE16" s="20">
        <f t="shared" si="2"/>
        <v>-2172928.1311973603</v>
      </c>
      <c r="AF16" s="20">
        <f t="shared" si="2"/>
        <v>220976173.84530061</v>
      </c>
    </row>
    <row r="17" spans="2:32" x14ac:dyDescent="0.2">
      <c r="B17" s="172">
        <f>+'Option inputs'!$B$18</f>
        <v>4</v>
      </c>
      <c r="C17" s="13" t="str">
        <f>+'Option inputs'!$C$18</f>
        <v>Option 3</v>
      </c>
      <c r="D17" s="164"/>
      <c r="E17" s="173" t="s">
        <v>35</v>
      </c>
      <c r="F17" s="21">
        <f t="shared" si="1"/>
        <v>-4694282.3835527673</v>
      </c>
      <c r="G17" s="20">
        <f t="shared" si="1"/>
        <v>0</v>
      </c>
      <c r="H17" s="20">
        <f t="shared" si="1"/>
        <v>-13133991.623580799</v>
      </c>
      <c r="I17" s="20">
        <f t="shared" si="1"/>
        <v>-19488538.60166233</v>
      </c>
      <c r="J17" s="20">
        <f t="shared" si="1"/>
        <v>456874.88386664353</v>
      </c>
      <c r="K17" s="20">
        <f t="shared" si="1"/>
        <v>71207.972486931598</v>
      </c>
      <c r="L17" s="20">
        <f t="shared" si="1"/>
        <v>1757772.5989128603</v>
      </c>
      <c r="M17" s="20">
        <f t="shared" si="1"/>
        <v>26361293.630429197</v>
      </c>
      <c r="N17" s="20">
        <f t="shared" si="1"/>
        <v>-10144348.856985787</v>
      </c>
      <c r="O17" s="20">
        <f t="shared" si="1"/>
        <v>-6790989.6312766038</v>
      </c>
      <c r="P17" s="20">
        <f t="shared" si="1"/>
        <v>4192261.6537745725</v>
      </c>
      <c r="Q17" s="20">
        <f t="shared" si="1"/>
        <v>-12905701.075120766</v>
      </c>
      <c r="R17" s="20">
        <f t="shared" si="1"/>
        <v>35322.748690305976</v>
      </c>
      <c r="S17" s="20">
        <f t="shared" si="1"/>
        <v>29189320.227209359</v>
      </c>
      <c r="T17" s="20">
        <f t="shared" si="1"/>
        <v>1679384.3291415826</v>
      </c>
      <c r="U17" s="20">
        <f t="shared" si="1"/>
        <v>5918278.2317280043</v>
      </c>
      <c r="V17" s="20">
        <f t="shared" si="2"/>
        <v>-3348437.8115205392</v>
      </c>
      <c r="W17" s="20">
        <f t="shared" si="2"/>
        <v>-3828767.8313147742</v>
      </c>
      <c r="X17" s="20">
        <f t="shared" si="2"/>
        <v>9170283.2639160585</v>
      </c>
      <c r="Y17" s="20">
        <f t="shared" si="2"/>
        <v>-6532268.1467583748</v>
      </c>
      <c r="Z17" s="20">
        <f t="shared" si="2"/>
        <v>-421147.43718524801</v>
      </c>
      <c r="AA17" s="20">
        <f t="shared" si="2"/>
        <v>114091.65056394736</v>
      </c>
      <c r="AB17" s="20">
        <f t="shared" si="2"/>
        <v>-2763938.2485851254</v>
      </c>
      <c r="AC17" s="20">
        <f t="shared" si="2"/>
        <v>215673.98157477507</v>
      </c>
      <c r="AD17" s="20">
        <f t="shared" si="2"/>
        <v>71570.313827113598</v>
      </c>
      <c r="AE17" s="20">
        <f t="shared" si="2"/>
        <v>-1678963.0400115142</v>
      </c>
      <c r="AF17" s="20">
        <f t="shared" si="2"/>
        <v>21663674.542599738</v>
      </c>
    </row>
    <row r="18" spans="2:32" x14ac:dyDescent="0.2">
      <c r="B18" s="172">
        <f>+'Option inputs'!$B$19</f>
        <v>5</v>
      </c>
      <c r="C18" s="13" t="str">
        <f>+'Option inputs'!$C$19</f>
        <v>Option 4</v>
      </c>
      <c r="D18" s="164"/>
      <c r="E18" s="173" t="s">
        <v>35</v>
      </c>
      <c r="F18" s="21">
        <f t="shared" si="1"/>
        <v>0</v>
      </c>
      <c r="G18" s="20" t="e">
        <f t="shared" si="1"/>
        <v>#VALUE!</v>
      </c>
      <c r="H18" s="20">
        <f t="shared" si="1"/>
        <v>0</v>
      </c>
      <c r="I18" s="20">
        <f t="shared" si="1"/>
        <v>0</v>
      </c>
      <c r="J18" s="20">
        <f t="shared" si="1"/>
        <v>0</v>
      </c>
      <c r="K18" s="20">
        <f t="shared" si="1"/>
        <v>0</v>
      </c>
      <c r="L18" s="20">
        <f t="shared" si="1"/>
        <v>0</v>
      </c>
      <c r="M18" s="20">
        <f t="shared" si="1"/>
        <v>0</v>
      </c>
      <c r="N18" s="20">
        <f t="shared" si="1"/>
        <v>0</v>
      </c>
      <c r="O18" s="20">
        <f t="shared" si="1"/>
        <v>0</v>
      </c>
      <c r="P18" s="20">
        <f t="shared" si="1"/>
        <v>0</v>
      </c>
      <c r="Q18" s="20">
        <f t="shared" si="1"/>
        <v>0</v>
      </c>
      <c r="R18" s="20">
        <f t="shared" si="1"/>
        <v>0</v>
      </c>
      <c r="S18" s="20">
        <f t="shared" si="1"/>
        <v>0</v>
      </c>
      <c r="T18" s="20">
        <f t="shared" si="1"/>
        <v>0</v>
      </c>
      <c r="U18" s="20">
        <f t="shared" si="1"/>
        <v>0</v>
      </c>
      <c r="V18" s="20">
        <f t="shared" si="2"/>
        <v>0</v>
      </c>
      <c r="W18" s="20">
        <f t="shared" si="2"/>
        <v>0</v>
      </c>
      <c r="X18" s="20">
        <f t="shared" si="2"/>
        <v>0</v>
      </c>
      <c r="Y18" s="20">
        <f t="shared" si="2"/>
        <v>0</v>
      </c>
      <c r="Z18" s="20">
        <f t="shared" si="2"/>
        <v>0</v>
      </c>
      <c r="AA18" s="20">
        <f t="shared" si="2"/>
        <v>0</v>
      </c>
      <c r="AB18" s="20">
        <f t="shared" si="2"/>
        <v>0</v>
      </c>
      <c r="AC18" s="20">
        <f t="shared" si="2"/>
        <v>0</v>
      </c>
      <c r="AD18" s="20">
        <f t="shared" si="2"/>
        <v>0</v>
      </c>
      <c r="AE18" s="20">
        <f t="shared" si="2"/>
        <v>0</v>
      </c>
      <c r="AF18" s="20">
        <f t="shared" si="2"/>
        <v>0</v>
      </c>
    </row>
    <row r="19" spans="2:32" x14ac:dyDescent="0.2">
      <c r="B19" s="172">
        <f>+'Option inputs'!$B$20</f>
        <v>6</v>
      </c>
      <c r="C19" s="13" t="str">
        <f>+'Option inputs'!$C$20</f>
        <v>Option 5</v>
      </c>
      <c r="D19" s="164"/>
      <c r="E19" s="173" t="s">
        <v>35</v>
      </c>
      <c r="F19" s="21">
        <f t="shared" si="1"/>
        <v>0</v>
      </c>
      <c r="G19" s="20" t="e">
        <f t="shared" si="1"/>
        <v>#VALUE!</v>
      </c>
      <c r="H19" s="20">
        <f t="shared" si="1"/>
        <v>0</v>
      </c>
      <c r="I19" s="20">
        <f t="shared" si="1"/>
        <v>0</v>
      </c>
      <c r="J19" s="20">
        <f t="shared" si="1"/>
        <v>0</v>
      </c>
      <c r="K19" s="20">
        <f t="shared" si="1"/>
        <v>0</v>
      </c>
      <c r="L19" s="20">
        <f t="shared" si="1"/>
        <v>0</v>
      </c>
      <c r="M19" s="20">
        <f t="shared" si="1"/>
        <v>0</v>
      </c>
      <c r="N19" s="20">
        <f t="shared" si="1"/>
        <v>0</v>
      </c>
      <c r="O19" s="20">
        <f t="shared" si="1"/>
        <v>0</v>
      </c>
      <c r="P19" s="20">
        <f t="shared" si="1"/>
        <v>0</v>
      </c>
      <c r="Q19" s="20">
        <f t="shared" si="1"/>
        <v>0</v>
      </c>
      <c r="R19" s="20">
        <f t="shared" si="1"/>
        <v>0</v>
      </c>
      <c r="S19" s="20">
        <f t="shared" si="1"/>
        <v>0</v>
      </c>
      <c r="T19" s="20">
        <f t="shared" si="1"/>
        <v>0</v>
      </c>
      <c r="U19" s="20">
        <f t="shared" si="1"/>
        <v>0</v>
      </c>
      <c r="V19" s="20">
        <f t="shared" si="2"/>
        <v>0</v>
      </c>
      <c r="W19" s="20">
        <f t="shared" si="2"/>
        <v>0</v>
      </c>
      <c r="X19" s="20">
        <f t="shared" si="2"/>
        <v>0</v>
      </c>
      <c r="Y19" s="20">
        <f t="shared" si="2"/>
        <v>0</v>
      </c>
      <c r="Z19" s="20">
        <f t="shared" si="2"/>
        <v>0</v>
      </c>
      <c r="AA19" s="20">
        <f t="shared" si="2"/>
        <v>0</v>
      </c>
      <c r="AB19" s="20">
        <f t="shared" si="2"/>
        <v>0</v>
      </c>
      <c r="AC19" s="20">
        <f t="shared" si="2"/>
        <v>0</v>
      </c>
      <c r="AD19" s="20">
        <f t="shared" si="2"/>
        <v>0</v>
      </c>
      <c r="AE19" s="20">
        <f t="shared" si="2"/>
        <v>0</v>
      </c>
      <c r="AF19" s="20">
        <f t="shared" si="2"/>
        <v>0</v>
      </c>
    </row>
    <row r="20" spans="2:32" x14ac:dyDescent="0.2">
      <c r="B20" s="172" t="e">
        <f>+'Option inputs'!#REF!</f>
        <v>#REF!</v>
      </c>
      <c r="C20" s="13" t="e">
        <f>+'Option inputs'!#REF!</f>
        <v>#REF!</v>
      </c>
      <c r="D20" s="164"/>
      <c r="E20" s="173" t="s">
        <v>35</v>
      </c>
      <c r="F20" s="21" t="e">
        <f t="shared" si="1"/>
        <v>#REF!</v>
      </c>
      <c r="G20" s="20" t="e">
        <f t="shared" si="1"/>
        <v>#REF!</v>
      </c>
      <c r="H20" s="20" t="e">
        <f t="shared" si="1"/>
        <v>#REF!</v>
      </c>
      <c r="I20" s="20" t="e">
        <f t="shared" si="1"/>
        <v>#REF!</v>
      </c>
      <c r="J20" s="20" t="e">
        <f t="shared" si="1"/>
        <v>#REF!</v>
      </c>
      <c r="K20" s="20" t="e">
        <f t="shared" si="1"/>
        <v>#REF!</v>
      </c>
      <c r="L20" s="20" t="e">
        <f t="shared" si="1"/>
        <v>#REF!</v>
      </c>
      <c r="M20" s="20" t="e">
        <f t="shared" si="1"/>
        <v>#REF!</v>
      </c>
      <c r="N20" s="20" t="e">
        <f t="shared" si="1"/>
        <v>#REF!</v>
      </c>
      <c r="O20" s="20" t="e">
        <f t="shared" si="1"/>
        <v>#REF!</v>
      </c>
      <c r="P20" s="20" t="e">
        <f t="shared" si="1"/>
        <v>#REF!</v>
      </c>
      <c r="Q20" s="20" t="e">
        <f t="shared" si="1"/>
        <v>#REF!</v>
      </c>
      <c r="R20" s="20" t="e">
        <f t="shared" si="1"/>
        <v>#REF!</v>
      </c>
      <c r="S20" s="20" t="e">
        <f t="shared" si="1"/>
        <v>#REF!</v>
      </c>
      <c r="T20" s="20" t="e">
        <f t="shared" si="1"/>
        <v>#REF!</v>
      </c>
      <c r="U20" s="20" t="e">
        <f t="shared" si="1"/>
        <v>#REF!</v>
      </c>
      <c r="V20" s="20" t="e">
        <f t="shared" si="2"/>
        <v>#REF!</v>
      </c>
      <c r="W20" s="20" t="e">
        <f t="shared" si="2"/>
        <v>#REF!</v>
      </c>
      <c r="X20" s="20" t="e">
        <f t="shared" si="2"/>
        <v>#REF!</v>
      </c>
      <c r="Y20" s="20" t="e">
        <f t="shared" si="2"/>
        <v>#REF!</v>
      </c>
      <c r="Z20" s="20" t="e">
        <f t="shared" si="2"/>
        <v>#REF!</v>
      </c>
      <c r="AA20" s="20" t="e">
        <f t="shared" si="2"/>
        <v>#REF!</v>
      </c>
      <c r="AB20" s="20" t="e">
        <f t="shared" si="2"/>
        <v>#REF!</v>
      </c>
      <c r="AC20" s="20" t="e">
        <f t="shared" si="2"/>
        <v>#REF!</v>
      </c>
      <c r="AD20" s="20" t="e">
        <f t="shared" si="2"/>
        <v>#REF!</v>
      </c>
      <c r="AE20" s="20" t="e">
        <f t="shared" si="2"/>
        <v>#REF!</v>
      </c>
      <c r="AF20" s="20" t="e">
        <f t="shared" si="2"/>
        <v>#REF!</v>
      </c>
    </row>
    <row r="21" spans="2:32" x14ac:dyDescent="0.2">
      <c r="B21" s="172" t="e">
        <f>+'Option inputs'!#REF!</f>
        <v>#REF!</v>
      </c>
      <c r="C21" s="13" t="e">
        <f>+'Option inputs'!#REF!</f>
        <v>#REF!</v>
      </c>
      <c r="D21" s="164"/>
      <c r="E21" s="173" t="s">
        <v>35</v>
      </c>
      <c r="F21" s="21" t="e">
        <f t="shared" si="1"/>
        <v>#REF!</v>
      </c>
      <c r="G21" s="20" t="e">
        <f t="shared" si="1"/>
        <v>#REF!</v>
      </c>
      <c r="H21" s="20" t="e">
        <f t="shared" si="1"/>
        <v>#REF!</v>
      </c>
      <c r="I21" s="20" t="e">
        <f t="shared" si="1"/>
        <v>#REF!</v>
      </c>
      <c r="J21" s="20" t="e">
        <f t="shared" si="1"/>
        <v>#REF!</v>
      </c>
      <c r="K21" s="20" t="e">
        <f t="shared" si="1"/>
        <v>#REF!</v>
      </c>
      <c r="L21" s="20" t="e">
        <f t="shared" si="1"/>
        <v>#REF!</v>
      </c>
      <c r="M21" s="20" t="e">
        <f t="shared" si="1"/>
        <v>#REF!</v>
      </c>
      <c r="N21" s="20" t="e">
        <f t="shared" si="1"/>
        <v>#REF!</v>
      </c>
      <c r="O21" s="20" t="e">
        <f t="shared" si="1"/>
        <v>#REF!</v>
      </c>
      <c r="P21" s="20" t="e">
        <f t="shared" si="1"/>
        <v>#REF!</v>
      </c>
      <c r="Q21" s="20" t="e">
        <f t="shared" si="1"/>
        <v>#REF!</v>
      </c>
      <c r="R21" s="20" t="e">
        <f t="shared" si="1"/>
        <v>#REF!</v>
      </c>
      <c r="S21" s="20" t="e">
        <f t="shared" si="1"/>
        <v>#REF!</v>
      </c>
      <c r="T21" s="20" t="e">
        <f t="shared" si="1"/>
        <v>#REF!</v>
      </c>
      <c r="U21" s="20" t="e">
        <f t="shared" si="1"/>
        <v>#REF!</v>
      </c>
      <c r="V21" s="20" t="e">
        <f t="shared" si="2"/>
        <v>#REF!</v>
      </c>
      <c r="W21" s="20" t="e">
        <f t="shared" si="2"/>
        <v>#REF!</v>
      </c>
      <c r="X21" s="20" t="e">
        <f t="shared" si="2"/>
        <v>#REF!</v>
      </c>
      <c r="Y21" s="20" t="e">
        <f t="shared" si="2"/>
        <v>#REF!</v>
      </c>
      <c r="Z21" s="20" t="e">
        <f t="shared" si="2"/>
        <v>#REF!</v>
      </c>
      <c r="AA21" s="20" t="e">
        <f t="shared" si="2"/>
        <v>#REF!</v>
      </c>
      <c r="AB21" s="20" t="e">
        <f t="shared" si="2"/>
        <v>#REF!</v>
      </c>
      <c r="AC21" s="20" t="e">
        <f t="shared" si="2"/>
        <v>#REF!</v>
      </c>
      <c r="AD21" s="20" t="e">
        <f t="shared" si="2"/>
        <v>#REF!</v>
      </c>
      <c r="AE21" s="20" t="e">
        <f t="shared" si="2"/>
        <v>#REF!</v>
      </c>
      <c r="AF21" s="20" t="e">
        <f t="shared" si="2"/>
        <v>#REF!</v>
      </c>
    </row>
    <row r="22" spans="2:32" x14ac:dyDescent="0.2">
      <c r="B22" s="172" t="e">
        <f>+'Option inputs'!#REF!</f>
        <v>#REF!</v>
      </c>
      <c r="C22" s="13" t="e">
        <f>+'Option inputs'!#REF!</f>
        <v>#REF!</v>
      </c>
      <c r="D22" s="164"/>
      <c r="E22" s="173" t="s">
        <v>35</v>
      </c>
      <c r="F22" s="21" t="e">
        <f t="shared" si="1"/>
        <v>#REF!</v>
      </c>
      <c r="G22" s="20" t="e">
        <f t="shared" si="1"/>
        <v>#REF!</v>
      </c>
      <c r="H22" s="20" t="e">
        <f t="shared" si="1"/>
        <v>#REF!</v>
      </c>
      <c r="I22" s="20" t="e">
        <f t="shared" si="1"/>
        <v>#REF!</v>
      </c>
      <c r="J22" s="20" t="e">
        <f t="shared" si="1"/>
        <v>#REF!</v>
      </c>
      <c r="K22" s="20" t="e">
        <f t="shared" si="1"/>
        <v>#REF!</v>
      </c>
      <c r="L22" s="20" t="e">
        <f t="shared" si="1"/>
        <v>#REF!</v>
      </c>
      <c r="M22" s="20" t="e">
        <f t="shared" si="1"/>
        <v>#REF!</v>
      </c>
      <c r="N22" s="20" t="e">
        <f t="shared" si="1"/>
        <v>#REF!</v>
      </c>
      <c r="O22" s="20" t="e">
        <f t="shared" si="1"/>
        <v>#REF!</v>
      </c>
      <c r="P22" s="20" t="e">
        <f t="shared" si="1"/>
        <v>#REF!</v>
      </c>
      <c r="Q22" s="20" t="e">
        <f t="shared" si="1"/>
        <v>#REF!</v>
      </c>
      <c r="R22" s="20" t="e">
        <f t="shared" si="1"/>
        <v>#REF!</v>
      </c>
      <c r="S22" s="20" t="e">
        <f t="shared" si="1"/>
        <v>#REF!</v>
      </c>
      <c r="T22" s="20" t="e">
        <f t="shared" si="1"/>
        <v>#REF!</v>
      </c>
      <c r="U22" s="20" t="e">
        <f t="shared" si="1"/>
        <v>#REF!</v>
      </c>
      <c r="V22" s="20" t="e">
        <f t="shared" si="2"/>
        <v>#REF!</v>
      </c>
      <c r="W22" s="20" t="e">
        <f t="shared" si="2"/>
        <v>#REF!</v>
      </c>
      <c r="X22" s="20" t="e">
        <f t="shared" si="2"/>
        <v>#REF!</v>
      </c>
      <c r="Y22" s="20" t="e">
        <f t="shared" si="2"/>
        <v>#REF!</v>
      </c>
      <c r="Z22" s="20" t="e">
        <f t="shared" si="2"/>
        <v>#REF!</v>
      </c>
      <c r="AA22" s="20" t="e">
        <f t="shared" si="2"/>
        <v>#REF!</v>
      </c>
      <c r="AB22" s="20" t="e">
        <f t="shared" si="2"/>
        <v>#REF!</v>
      </c>
      <c r="AC22" s="20" t="e">
        <f t="shared" si="2"/>
        <v>#REF!</v>
      </c>
      <c r="AD22" s="20" t="e">
        <f t="shared" si="2"/>
        <v>#REF!</v>
      </c>
      <c r="AE22" s="20" t="e">
        <f t="shared" si="2"/>
        <v>#REF!</v>
      </c>
      <c r="AF22" s="20" t="e">
        <f t="shared" si="2"/>
        <v>#REF!</v>
      </c>
    </row>
    <row r="23" spans="2:32" x14ac:dyDescent="0.2">
      <c r="B23" s="172" t="e">
        <f>+'Option inputs'!#REF!</f>
        <v>#REF!</v>
      </c>
      <c r="C23" s="13" t="e">
        <f>+'Option inputs'!#REF!</f>
        <v>#REF!</v>
      </c>
      <c r="D23" s="164"/>
      <c r="E23" s="173" t="s">
        <v>35</v>
      </c>
      <c r="F23" s="21" t="e">
        <f t="shared" si="1"/>
        <v>#REF!</v>
      </c>
      <c r="G23" s="20" t="e">
        <f t="shared" si="1"/>
        <v>#REF!</v>
      </c>
      <c r="H23" s="20" t="e">
        <f t="shared" si="1"/>
        <v>#REF!</v>
      </c>
      <c r="I23" s="20" t="e">
        <f t="shared" si="1"/>
        <v>#REF!</v>
      </c>
      <c r="J23" s="20" t="e">
        <f t="shared" si="1"/>
        <v>#REF!</v>
      </c>
      <c r="K23" s="20" t="e">
        <f t="shared" si="1"/>
        <v>#REF!</v>
      </c>
      <c r="L23" s="20" t="e">
        <f t="shared" si="1"/>
        <v>#REF!</v>
      </c>
      <c r="M23" s="20" t="e">
        <f t="shared" si="1"/>
        <v>#REF!</v>
      </c>
      <c r="N23" s="20" t="e">
        <f t="shared" si="1"/>
        <v>#REF!</v>
      </c>
      <c r="O23" s="20" t="e">
        <f t="shared" si="1"/>
        <v>#REF!</v>
      </c>
      <c r="P23" s="20" t="e">
        <f t="shared" si="1"/>
        <v>#REF!</v>
      </c>
      <c r="Q23" s="20" t="e">
        <f t="shared" si="1"/>
        <v>#REF!</v>
      </c>
      <c r="R23" s="20" t="e">
        <f t="shared" si="1"/>
        <v>#REF!</v>
      </c>
      <c r="S23" s="20" t="e">
        <f t="shared" si="1"/>
        <v>#REF!</v>
      </c>
      <c r="T23" s="20" t="e">
        <f t="shared" si="1"/>
        <v>#REF!</v>
      </c>
      <c r="U23" s="20" t="e">
        <f t="shared" si="1"/>
        <v>#REF!</v>
      </c>
      <c r="V23" s="20" t="e">
        <f t="shared" si="2"/>
        <v>#REF!</v>
      </c>
      <c r="W23" s="20" t="e">
        <f t="shared" si="2"/>
        <v>#REF!</v>
      </c>
      <c r="X23" s="20" t="e">
        <f t="shared" si="2"/>
        <v>#REF!</v>
      </c>
      <c r="Y23" s="20" t="e">
        <f t="shared" si="2"/>
        <v>#REF!</v>
      </c>
      <c r="Z23" s="20" t="e">
        <f t="shared" si="2"/>
        <v>#REF!</v>
      </c>
      <c r="AA23" s="20" t="e">
        <f t="shared" si="2"/>
        <v>#REF!</v>
      </c>
      <c r="AB23" s="20" t="e">
        <f t="shared" si="2"/>
        <v>#REF!</v>
      </c>
      <c r="AC23" s="20" t="e">
        <f t="shared" si="2"/>
        <v>#REF!</v>
      </c>
      <c r="AD23" s="20" t="e">
        <f t="shared" si="2"/>
        <v>#REF!</v>
      </c>
      <c r="AE23" s="20" t="e">
        <f t="shared" si="2"/>
        <v>#REF!</v>
      </c>
      <c r="AF23" s="20" t="e">
        <f t="shared" si="2"/>
        <v>#REF!</v>
      </c>
    </row>
    <row r="24" spans="2:32" x14ac:dyDescent="0.2">
      <c r="B24" s="161"/>
      <c r="C24" s="165"/>
      <c r="D24" s="165"/>
      <c r="E24" s="161"/>
      <c r="F24" s="12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</row>
    <row r="25" spans="2:32" ht="15.75" x14ac:dyDescent="0.25">
      <c r="B25" s="166" t="s">
        <v>76</v>
      </c>
      <c r="C25" s="167"/>
      <c r="D25" s="167"/>
      <c r="E25" s="10"/>
      <c r="F25" s="10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</row>
    <row r="26" spans="2:32" ht="15.75" x14ac:dyDescent="0.25">
      <c r="B26" s="168" t="s">
        <v>14</v>
      </c>
      <c r="C26" s="169" t="s">
        <v>13</v>
      </c>
      <c r="D26" s="169"/>
      <c r="E26" s="170" t="s">
        <v>22</v>
      </c>
      <c r="F26" s="170" t="s">
        <v>37</v>
      </c>
      <c r="G26" s="171" t="str">
        <f>G$55</f>
        <v>FY 2020-21</v>
      </c>
      <c r="H26" s="171" t="str">
        <f t="shared" ref="H26:AF26" si="3">H$55</f>
        <v>FY 2021-22</v>
      </c>
      <c r="I26" s="171" t="str">
        <f t="shared" si="3"/>
        <v>FY 2022-23</v>
      </c>
      <c r="J26" s="171" t="str">
        <f t="shared" si="3"/>
        <v>FY 2023-24</v>
      </c>
      <c r="K26" s="171" t="str">
        <f t="shared" si="3"/>
        <v>FY 2024-25</v>
      </c>
      <c r="L26" s="171" t="str">
        <f t="shared" si="3"/>
        <v>FY 2025-26</v>
      </c>
      <c r="M26" s="171" t="str">
        <f t="shared" si="3"/>
        <v>FY 2026-27</v>
      </c>
      <c r="N26" s="171" t="str">
        <f t="shared" si="3"/>
        <v>FY 2027-28</v>
      </c>
      <c r="O26" s="171" t="str">
        <f t="shared" si="3"/>
        <v>FY 2028-29</v>
      </c>
      <c r="P26" s="171" t="str">
        <f t="shared" si="3"/>
        <v>FY 2029-30</v>
      </c>
      <c r="Q26" s="171" t="str">
        <f t="shared" si="3"/>
        <v>FY 2030-31</v>
      </c>
      <c r="R26" s="171" t="str">
        <f t="shared" si="3"/>
        <v>FY 2031-32</v>
      </c>
      <c r="S26" s="171" t="str">
        <f t="shared" si="3"/>
        <v>FY 2032-33</v>
      </c>
      <c r="T26" s="171" t="str">
        <f t="shared" si="3"/>
        <v>FY 2033-34</v>
      </c>
      <c r="U26" s="171" t="str">
        <f t="shared" si="3"/>
        <v>FY 2034-35</v>
      </c>
      <c r="V26" s="171" t="str">
        <f t="shared" si="3"/>
        <v>FY 2035-36</v>
      </c>
      <c r="W26" s="171" t="str">
        <f t="shared" si="3"/>
        <v>FY 2036-37</v>
      </c>
      <c r="X26" s="171" t="str">
        <f t="shared" si="3"/>
        <v>FY 2037-38</v>
      </c>
      <c r="Y26" s="171" t="str">
        <f t="shared" si="3"/>
        <v>FY 2038-39</v>
      </c>
      <c r="Z26" s="171" t="str">
        <f t="shared" si="3"/>
        <v>FY 2039-40</v>
      </c>
      <c r="AA26" s="171" t="str">
        <f t="shared" si="3"/>
        <v>FY 2040-41</v>
      </c>
      <c r="AB26" s="171" t="str">
        <f t="shared" si="3"/>
        <v>FY 2041-42</v>
      </c>
      <c r="AC26" s="171" t="str">
        <f t="shared" si="3"/>
        <v>FY 2042-43</v>
      </c>
      <c r="AD26" s="171" t="str">
        <f t="shared" si="3"/>
        <v>FY 2043-44</v>
      </c>
      <c r="AE26" s="171" t="str">
        <f t="shared" si="3"/>
        <v>FY 2044-45</v>
      </c>
      <c r="AF26" s="171" t="str">
        <f t="shared" si="3"/>
        <v>FY 2045-46</v>
      </c>
    </row>
    <row r="27" spans="2:32" x14ac:dyDescent="0.2">
      <c r="B27" s="172">
        <f>+'Option inputs'!$B$15</f>
        <v>1</v>
      </c>
      <c r="C27" s="13" t="str">
        <f>+'Option inputs'!$C$15</f>
        <v>Option 1A</v>
      </c>
      <c r="D27" s="164"/>
      <c r="E27" s="173" t="s">
        <v>35</v>
      </c>
      <c r="F27" s="21">
        <f t="shared" ref="F27:F36" si="4">SUMIF($C$59:$C$71,$C27,F$59:F$71)+SUMIF($C$87:$C$150,$C27,F$87:F$150)</f>
        <v>33143849.91733402</v>
      </c>
      <c r="G27" s="20">
        <f t="shared" ref="G27:V36" si="5">SUMIF($C$87:$C$150,$C27,G$87:G$150)</f>
        <v>0</v>
      </c>
      <c r="H27" s="20">
        <f t="shared" si="5"/>
        <v>15228664.49154892</v>
      </c>
      <c r="I27" s="20">
        <f t="shared" si="5"/>
        <v>51451676.718631446</v>
      </c>
      <c r="J27" s="20">
        <f t="shared" si="5"/>
        <v>21542270.193880748</v>
      </c>
      <c r="K27" s="20">
        <f t="shared" si="5"/>
        <v>-9508847.499718681</v>
      </c>
      <c r="L27" s="20">
        <f t="shared" si="5"/>
        <v>30853360.989328906</v>
      </c>
      <c r="M27" s="20">
        <f t="shared" si="5"/>
        <v>148996350.41384009</v>
      </c>
      <c r="N27" s="20">
        <f t="shared" si="5"/>
        <v>-35985202.080509126</v>
      </c>
      <c r="O27" s="20">
        <f t="shared" si="5"/>
        <v>11270180.800526034</v>
      </c>
      <c r="P27" s="20">
        <f t="shared" si="5"/>
        <v>-45745098.047059938</v>
      </c>
      <c r="Q27" s="20">
        <f t="shared" si="5"/>
        <v>-141575970.14819676</v>
      </c>
      <c r="R27" s="20">
        <f t="shared" si="5"/>
        <v>12748466.415045299</v>
      </c>
      <c r="S27" s="20">
        <f t="shared" si="5"/>
        <v>177318866.43643439</v>
      </c>
      <c r="T27" s="20">
        <f t="shared" si="5"/>
        <v>-24884040.297938578</v>
      </c>
      <c r="U27" s="20">
        <f t="shared" si="5"/>
        <v>37258752.655489534</v>
      </c>
      <c r="V27" s="20">
        <f t="shared" si="5"/>
        <v>18598353.801496007</v>
      </c>
      <c r="W27" s="20">
        <f t="shared" ref="Q27:AF36" si="6">SUMIF($C$87:$C$150,$C27,W$87:W$150)</f>
        <v>30543104.576178972</v>
      </c>
      <c r="X27" s="20">
        <f t="shared" si="6"/>
        <v>20439476.981432065</v>
      </c>
      <c r="Y27" s="20">
        <f t="shared" si="6"/>
        <v>-22432523.312503543</v>
      </c>
      <c r="Z27" s="20">
        <f t="shared" si="6"/>
        <v>11307040.024843972</v>
      </c>
      <c r="AA27" s="20">
        <f t="shared" si="6"/>
        <v>-18659424.887554679</v>
      </c>
      <c r="AB27" s="20">
        <f t="shared" si="6"/>
        <v>-12442771.694736293</v>
      </c>
      <c r="AC27" s="20">
        <f t="shared" si="6"/>
        <v>12796325.321673736</v>
      </c>
      <c r="AD27" s="20">
        <f t="shared" si="6"/>
        <v>-11593621.111304406</v>
      </c>
      <c r="AE27" s="20">
        <f t="shared" si="6"/>
        <v>-2989510.7204005942</v>
      </c>
      <c r="AF27" s="20">
        <f t="shared" si="6"/>
        <v>2195534.1831588387</v>
      </c>
    </row>
    <row r="28" spans="2:32" x14ac:dyDescent="0.2">
      <c r="B28" s="172">
        <f>+'Option inputs'!$B$16</f>
        <v>2</v>
      </c>
      <c r="C28" s="13" t="str">
        <f>+'Option inputs'!$C$16</f>
        <v>Option 1B</v>
      </c>
      <c r="D28" s="164"/>
      <c r="E28" s="173" t="s">
        <v>35</v>
      </c>
      <c r="F28" s="21">
        <f t="shared" si="4"/>
        <v>-30754433.653094769</v>
      </c>
      <c r="G28" s="20">
        <f t="shared" si="5"/>
        <v>0</v>
      </c>
      <c r="H28" s="20">
        <f t="shared" si="5"/>
        <v>15228664.49154892</v>
      </c>
      <c r="I28" s="20">
        <f t="shared" si="5"/>
        <v>51451676.718631446</v>
      </c>
      <c r="J28" s="20">
        <f t="shared" si="5"/>
        <v>21542270.193880748</v>
      </c>
      <c r="K28" s="20">
        <f t="shared" si="5"/>
        <v>-9508847.499718681</v>
      </c>
      <c r="L28" s="20">
        <f t="shared" si="5"/>
        <v>30853360.989328906</v>
      </c>
      <c r="M28" s="20">
        <f t="shared" si="5"/>
        <v>148996350.41384009</v>
      </c>
      <c r="N28" s="20">
        <f t="shared" si="5"/>
        <v>-35985202.080509126</v>
      </c>
      <c r="O28" s="20">
        <f t="shared" si="5"/>
        <v>11270180.800526034</v>
      </c>
      <c r="P28" s="20">
        <f t="shared" si="5"/>
        <v>-45745098.047059938</v>
      </c>
      <c r="Q28" s="20">
        <f t="shared" si="6"/>
        <v>-141575970.14819676</v>
      </c>
      <c r="R28" s="20">
        <f t="shared" si="6"/>
        <v>12748466.415045299</v>
      </c>
      <c r="S28" s="20">
        <f t="shared" si="6"/>
        <v>177318866.43643439</v>
      </c>
      <c r="T28" s="20">
        <f t="shared" si="6"/>
        <v>-24884040.297938578</v>
      </c>
      <c r="U28" s="20">
        <f t="shared" si="6"/>
        <v>37258752.655489534</v>
      </c>
      <c r="V28" s="20">
        <f t="shared" si="6"/>
        <v>18598353.801496007</v>
      </c>
      <c r="W28" s="20">
        <f t="shared" si="6"/>
        <v>30543104.576178972</v>
      </c>
      <c r="X28" s="20">
        <f t="shared" si="6"/>
        <v>20439476.981432065</v>
      </c>
      <c r="Y28" s="20">
        <f t="shared" si="6"/>
        <v>-22432523.312503543</v>
      </c>
      <c r="Z28" s="20">
        <f t="shared" si="6"/>
        <v>11307040.024843972</v>
      </c>
      <c r="AA28" s="20">
        <f t="shared" si="6"/>
        <v>-18659424.887554679</v>
      </c>
      <c r="AB28" s="20">
        <f t="shared" si="6"/>
        <v>-12442771.694736293</v>
      </c>
      <c r="AC28" s="20">
        <f t="shared" si="6"/>
        <v>12796325.321673736</v>
      </c>
      <c r="AD28" s="20">
        <f t="shared" si="6"/>
        <v>-11593621.111304406</v>
      </c>
      <c r="AE28" s="20">
        <f t="shared" si="6"/>
        <v>-2989510.7204005942</v>
      </c>
      <c r="AF28" s="20">
        <f t="shared" si="6"/>
        <v>2195534.1831588387</v>
      </c>
    </row>
    <row r="29" spans="2:32" x14ac:dyDescent="0.2">
      <c r="B29" s="172">
        <f>+'Option inputs'!$B$17</f>
        <v>3</v>
      </c>
      <c r="C29" s="13" t="str">
        <f>+'Option inputs'!$C$17</f>
        <v>Option 2</v>
      </c>
      <c r="D29" s="164"/>
      <c r="E29" s="173" t="s">
        <v>35</v>
      </c>
      <c r="F29" s="21">
        <f t="shared" si="4"/>
        <v>-80645907.267827809</v>
      </c>
      <c r="G29" s="20">
        <f t="shared" si="5"/>
        <v>0</v>
      </c>
      <c r="H29" s="20">
        <f t="shared" si="5"/>
        <v>15449953.412654478</v>
      </c>
      <c r="I29" s="20">
        <f t="shared" si="5"/>
        <v>52900792.530131131</v>
      </c>
      <c r="J29" s="20">
        <f t="shared" si="5"/>
        <v>21709158.949083321</v>
      </c>
      <c r="K29" s="20">
        <f t="shared" si="5"/>
        <v>-8952200.1836464126</v>
      </c>
      <c r="L29" s="20">
        <f t="shared" si="5"/>
        <v>33136700.48057827</v>
      </c>
      <c r="M29" s="20">
        <f t="shared" si="5"/>
        <v>151668841.47499821</v>
      </c>
      <c r="N29" s="20">
        <f t="shared" si="5"/>
        <v>-35325856.761916287</v>
      </c>
      <c r="O29" s="20">
        <f t="shared" si="5"/>
        <v>17117370.215480991</v>
      </c>
      <c r="P29" s="20">
        <f t="shared" si="5"/>
        <v>-46916999.135100931</v>
      </c>
      <c r="Q29" s="20">
        <f t="shared" si="6"/>
        <v>-145525246.34716287</v>
      </c>
      <c r="R29" s="20">
        <f t="shared" si="6"/>
        <v>13443224.532986782</v>
      </c>
      <c r="S29" s="20">
        <f t="shared" si="6"/>
        <v>181273517.66076675</v>
      </c>
      <c r="T29" s="20">
        <f t="shared" si="6"/>
        <v>-21980792.745893545</v>
      </c>
      <c r="U29" s="20">
        <f t="shared" si="6"/>
        <v>37574782.632219762</v>
      </c>
      <c r="V29" s="20">
        <f t="shared" si="6"/>
        <v>14718673.810335547</v>
      </c>
      <c r="W29" s="20">
        <f t="shared" si="6"/>
        <v>34725933.179747902</v>
      </c>
      <c r="X29" s="20">
        <f t="shared" si="6"/>
        <v>24642319.261194915</v>
      </c>
      <c r="Y29" s="20">
        <f t="shared" si="6"/>
        <v>-24581884.78335201</v>
      </c>
      <c r="Z29" s="20">
        <f t="shared" si="6"/>
        <v>15430981.900837706</v>
      </c>
      <c r="AA29" s="20">
        <f t="shared" si="6"/>
        <v>-19606710.480496638</v>
      </c>
      <c r="AB29" s="20">
        <f t="shared" si="6"/>
        <v>-13259275.244272741</v>
      </c>
      <c r="AC29" s="20">
        <f t="shared" si="6"/>
        <v>10542237.194449425</v>
      </c>
      <c r="AD29" s="20">
        <f t="shared" si="6"/>
        <v>-7846667.2393312324</v>
      </c>
      <c r="AE29" s="20">
        <f t="shared" si="6"/>
        <v>-2172928.1311973603</v>
      </c>
      <c r="AF29" s="20">
        <f t="shared" si="6"/>
        <v>3426173.8453006167</v>
      </c>
    </row>
    <row r="30" spans="2:32" x14ac:dyDescent="0.2">
      <c r="B30" s="172">
        <f>+'Option inputs'!$B$18</f>
        <v>4</v>
      </c>
      <c r="C30" s="13" t="str">
        <f>+'Option inputs'!$C$18</f>
        <v>Option 3</v>
      </c>
      <c r="D30" s="164"/>
      <c r="E30" s="173" t="s">
        <v>35</v>
      </c>
      <c r="F30" s="21">
        <f t="shared" si="4"/>
        <v>-4694282.3835527673</v>
      </c>
      <c r="G30" s="20">
        <f t="shared" si="5"/>
        <v>0</v>
      </c>
      <c r="H30" s="20">
        <f t="shared" si="5"/>
        <v>3532675.0430858671</v>
      </c>
      <c r="I30" s="20">
        <f t="shared" si="5"/>
        <v>-2821871.9349956661</v>
      </c>
      <c r="J30" s="20">
        <f t="shared" si="5"/>
        <v>17123541.55053331</v>
      </c>
      <c r="K30" s="20">
        <f t="shared" si="5"/>
        <v>71207.972486931598</v>
      </c>
      <c r="L30" s="20">
        <f t="shared" si="5"/>
        <v>1757772.5989128603</v>
      </c>
      <c r="M30" s="20">
        <f t="shared" si="5"/>
        <v>26361293.630429197</v>
      </c>
      <c r="N30" s="20">
        <f t="shared" si="5"/>
        <v>-10144348.856985787</v>
      </c>
      <c r="O30" s="20">
        <f t="shared" si="5"/>
        <v>-6790989.6312766038</v>
      </c>
      <c r="P30" s="20">
        <f t="shared" si="5"/>
        <v>4192261.6537745725</v>
      </c>
      <c r="Q30" s="20">
        <f t="shared" si="6"/>
        <v>-12905701.075120766</v>
      </c>
      <c r="R30" s="20">
        <f t="shared" si="6"/>
        <v>35322.748690305976</v>
      </c>
      <c r="S30" s="20">
        <f t="shared" si="6"/>
        <v>29189320.227209359</v>
      </c>
      <c r="T30" s="20">
        <f t="shared" si="6"/>
        <v>1679384.3291415826</v>
      </c>
      <c r="U30" s="20">
        <f t="shared" si="6"/>
        <v>5918278.2317280043</v>
      </c>
      <c r="V30" s="20">
        <f t="shared" si="6"/>
        <v>-3348437.8115205392</v>
      </c>
      <c r="W30" s="20">
        <f t="shared" si="6"/>
        <v>-3828767.8313147742</v>
      </c>
      <c r="X30" s="20">
        <f t="shared" si="6"/>
        <v>9170283.2639160585</v>
      </c>
      <c r="Y30" s="20">
        <f t="shared" si="6"/>
        <v>-6532268.1467583748</v>
      </c>
      <c r="Z30" s="20">
        <f t="shared" si="6"/>
        <v>-421147.43718524801</v>
      </c>
      <c r="AA30" s="20">
        <f t="shared" si="6"/>
        <v>114091.65056394736</v>
      </c>
      <c r="AB30" s="20">
        <f t="shared" si="6"/>
        <v>-2763938.2485851254</v>
      </c>
      <c r="AC30" s="20">
        <f t="shared" si="6"/>
        <v>215673.98157477507</v>
      </c>
      <c r="AD30" s="20">
        <f t="shared" si="6"/>
        <v>71570.313827113598</v>
      </c>
      <c r="AE30" s="20">
        <f t="shared" si="6"/>
        <v>-1678963.0400115142</v>
      </c>
      <c r="AF30" s="20">
        <f t="shared" si="6"/>
        <v>413674.54259973927</v>
      </c>
    </row>
    <row r="31" spans="2:32" x14ac:dyDescent="0.2">
      <c r="B31" s="172">
        <f>+'Option inputs'!$B$19</f>
        <v>5</v>
      </c>
      <c r="C31" s="13" t="str">
        <f>+'Option inputs'!$C$19</f>
        <v>Option 4</v>
      </c>
      <c r="D31" s="164"/>
      <c r="E31" s="173" t="s">
        <v>35</v>
      </c>
      <c r="F31" s="21">
        <f t="shared" si="4"/>
        <v>0</v>
      </c>
      <c r="G31" s="20" t="e">
        <f t="shared" si="5"/>
        <v>#VALUE!</v>
      </c>
      <c r="H31" s="20">
        <f t="shared" si="5"/>
        <v>0</v>
      </c>
      <c r="I31" s="20">
        <f t="shared" si="5"/>
        <v>0</v>
      </c>
      <c r="J31" s="20">
        <f t="shared" si="5"/>
        <v>0</v>
      </c>
      <c r="K31" s="20">
        <f t="shared" si="5"/>
        <v>0</v>
      </c>
      <c r="L31" s="20">
        <f t="shared" si="5"/>
        <v>0</v>
      </c>
      <c r="M31" s="20">
        <f t="shared" si="5"/>
        <v>0</v>
      </c>
      <c r="N31" s="20">
        <f t="shared" si="5"/>
        <v>0</v>
      </c>
      <c r="O31" s="20">
        <f t="shared" si="5"/>
        <v>0</v>
      </c>
      <c r="P31" s="20">
        <f t="shared" si="5"/>
        <v>0</v>
      </c>
      <c r="Q31" s="20">
        <f t="shared" si="6"/>
        <v>0</v>
      </c>
      <c r="R31" s="20">
        <f t="shared" si="6"/>
        <v>0</v>
      </c>
      <c r="S31" s="20">
        <f t="shared" si="6"/>
        <v>0</v>
      </c>
      <c r="T31" s="20">
        <f t="shared" si="6"/>
        <v>0</v>
      </c>
      <c r="U31" s="20">
        <f t="shared" si="6"/>
        <v>0</v>
      </c>
      <c r="V31" s="20">
        <f t="shared" si="6"/>
        <v>0</v>
      </c>
      <c r="W31" s="20">
        <f t="shared" si="6"/>
        <v>0</v>
      </c>
      <c r="X31" s="20">
        <f t="shared" si="6"/>
        <v>0</v>
      </c>
      <c r="Y31" s="20">
        <f t="shared" si="6"/>
        <v>0</v>
      </c>
      <c r="Z31" s="20">
        <f t="shared" si="6"/>
        <v>0</v>
      </c>
      <c r="AA31" s="20">
        <f t="shared" si="6"/>
        <v>0</v>
      </c>
      <c r="AB31" s="20">
        <f t="shared" si="6"/>
        <v>0</v>
      </c>
      <c r="AC31" s="20">
        <f t="shared" si="6"/>
        <v>0</v>
      </c>
      <c r="AD31" s="20">
        <f t="shared" si="6"/>
        <v>0</v>
      </c>
      <c r="AE31" s="20">
        <f t="shared" si="6"/>
        <v>0</v>
      </c>
      <c r="AF31" s="20">
        <f t="shared" si="6"/>
        <v>0</v>
      </c>
    </row>
    <row r="32" spans="2:32" x14ac:dyDescent="0.2">
      <c r="B32" s="172">
        <f>+'Option inputs'!$B$20</f>
        <v>6</v>
      </c>
      <c r="C32" s="13" t="str">
        <f>+'Option inputs'!$C$20</f>
        <v>Option 5</v>
      </c>
      <c r="D32" s="164"/>
      <c r="E32" s="173" t="s">
        <v>35</v>
      </c>
      <c r="F32" s="21">
        <f t="shared" si="4"/>
        <v>0</v>
      </c>
      <c r="G32" s="20" t="e">
        <f t="shared" si="5"/>
        <v>#VALUE!</v>
      </c>
      <c r="H32" s="20">
        <f t="shared" si="5"/>
        <v>0</v>
      </c>
      <c r="I32" s="20">
        <f t="shared" si="5"/>
        <v>0</v>
      </c>
      <c r="J32" s="20">
        <f t="shared" si="5"/>
        <v>0</v>
      </c>
      <c r="K32" s="20">
        <f t="shared" si="5"/>
        <v>0</v>
      </c>
      <c r="L32" s="20">
        <f t="shared" si="5"/>
        <v>0</v>
      </c>
      <c r="M32" s="20">
        <f t="shared" si="5"/>
        <v>0</v>
      </c>
      <c r="N32" s="20">
        <f t="shared" si="5"/>
        <v>0</v>
      </c>
      <c r="O32" s="20">
        <f t="shared" si="5"/>
        <v>0</v>
      </c>
      <c r="P32" s="20">
        <f t="shared" si="5"/>
        <v>0</v>
      </c>
      <c r="Q32" s="20">
        <f t="shared" si="6"/>
        <v>0</v>
      </c>
      <c r="R32" s="20">
        <f t="shared" si="6"/>
        <v>0</v>
      </c>
      <c r="S32" s="20">
        <f t="shared" si="6"/>
        <v>0</v>
      </c>
      <c r="T32" s="20">
        <f t="shared" si="6"/>
        <v>0</v>
      </c>
      <c r="U32" s="20">
        <f t="shared" si="6"/>
        <v>0</v>
      </c>
      <c r="V32" s="20">
        <f t="shared" si="6"/>
        <v>0</v>
      </c>
      <c r="W32" s="20">
        <f t="shared" si="6"/>
        <v>0</v>
      </c>
      <c r="X32" s="20">
        <f t="shared" si="6"/>
        <v>0</v>
      </c>
      <c r="Y32" s="20">
        <f t="shared" si="6"/>
        <v>0</v>
      </c>
      <c r="Z32" s="20">
        <f t="shared" si="6"/>
        <v>0</v>
      </c>
      <c r="AA32" s="20">
        <f t="shared" si="6"/>
        <v>0</v>
      </c>
      <c r="AB32" s="20">
        <f t="shared" si="6"/>
        <v>0</v>
      </c>
      <c r="AC32" s="20">
        <f t="shared" si="6"/>
        <v>0</v>
      </c>
      <c r="AD32" s="20">
        <f t="shared" si="6"/>
        <v>0</v>
      </c>
      <c r="AE32" s="20">
        <f t="shared" si="6"/>
        <v>0</v>
      </c>
      <c r="AF32" s="20">
        <f t="shared" si="6"/>
        <v>0</v>
      </c>
    </row>
    <row r="33" spans="2:32" x14ac:dyDescent="0.2">
      <c r="B33" s="172" t="e">
        <f>+'Option inputs'!#REF!</f>
        <v>#REF!</v>
      </c>
      <c r="C33" s="13" t="e">
        <f>+'Option inputs'!#REF!</f>
        <v>#REF!</v>
      </c>
      <c r="D33" s="164"/>
      <c r="E33" s="173" t="s">
        <v>35</v>
      </c>
      <c r="F33" s="21" t="e">
        <f t="shared" si="4"/>
        <v>#REF!</v>
      </c>
      <c r="G33" s="20" t="e">
        <f t="shared" si="5"/>
        <v>#REF!</v>
      </c>
      <c r="H33" s="20" t="e">
        <f t="shared" si="5"/>
        <v>#REF!</v>
      </c>
      <c r="I33" s="20" t="e">
        <f t="shared" si="5"/>
        <v>#REF!</v>
      </c>
      <c r="J33" s="20" t="e">
        <f t="shared" si="5"/>
        <v>#REF!</v>
      </c>
      <c r="K33" s="20" t="e">
        <f t="shared" si="5"/>
        <v>#REF!</v>
      </c>
      <c r="L33" s="20" t="e">
        <f t="shared" si="5"/>
        <v>#REF!</v>
      </c>
      <c r="M33" s="20" t="e">
        <f t="shared" si="5"/>
        <v>#REF!</v>
      </c>
      <c r="N33" s="20" t="e">
        <f t="shared" si="5"/>
        <v>#REF!</v>
      </c>
      <c r="O33" s="20" t="e">
        <f t="shared" si="5"/>
        <v>#REF!</v>
      </c>
      <c r="P33" s="20" t="e">
        <f t="shared" si="5"/>
        <v>#REF!</v>
      </c>
      <c r="Q33" s="20" t="e">
        <f t="shared" si="6"/>
        <v>#REF!</v>
      </c>
      <c r="R33" s="20" t="e">
        <f t="shared" si="6"/>
        <v>#REF!</v>
      </c>
      <c r="S33" s="20" t="e">
        <f t="shared" si="6"/>
        <v>#REF!</v>
      </c>
      <c r="T33" s="20" t="e">
        <f t="shared" si="6"/>
        <v>#REF!</v>
      </c>
      <c r="U33" s="20" t="e">
        <f t="shared" si="6"/>
        <v>#REF!</v>
      </c>
      <c r="V33" s="20" t="e">
        <f t="shared" si="6"/>
        <v>#REF!</v>
      </c>
      <c r="W33" s="20" t="e">
        <f t="shared" si="6"/>
        <v>#REF!</v>
      </c>
      <c r="X33" s="20" t="e">
        <f t="shared" si="6"/>
        <v>#REF!</v>
      </c>
      <c r="Y33" s="20" t="e">
        <f t="shared" si="6"/>
        <v>#REF!</v>
      </c>
      <c r="Z33" s="20" t="e">
        <f t="shared" si="6"/>
        <v>#REF!</v>
      </c>
      <c r="AA33" s="20" t="e">
        <f t="shared" si="6"/>
        <v>#REF!</v>
      </c>
      <c r="AB33" s="20" t="e">
        <f t="shared" si="6"/>
        <v>#REF!</v>
      </c>
      <c r="AC33" s="20" t="e">
        <f t="shared" si="6"/>
        <v>#REF!</v>
      </c>
      <c r="AD33" s="20" t="e">
        <f t="shared" si="6"/>
        <v>#REF!</v>
      </c>
      <c r="AE33" s="20" t="e">
        <f t="shared" si="6"/>
        <v>#REF!</v>
      </c>
      <c r="AF33" s="20" t="e">
        <f t="shared" si="6"/>
        <v>#REF!</v>
      </c>
    </row>
    <row r="34" spans="2:32" x14ac:dyDescent="0.2">
      <c r="B34" s="172" t="e">
        <f>+'Option inputs'!#REF!</f>
        <v>#REF!</v>
      </c>
      <c r="C34" s="13" t="e">
        <f>+'Option inputs'!#REF!</f>
        <v>#REF!</v>
      </c>
      <c r="D34" s="164"/>
      <c r="E34" s="173" t="s">
        <v>35</v>
      </c>
      <c r="F34" s="21" t="e">
        <f t="shared" si="4"/>
        <v>#REF!</v>
      </c>
      <c r="G34" s="20" t="e">
        <f t="shared" si="5"/>
        <v>#REF!</v>
      </c>
      <c r="H34" s="20" t="e">
        <f t="shared" si="5"/>
        <v>#REF!</v>
      </c>
      <c r="I34" s="20" t="e">
        <f t="shared" si="5"/>
        <v>#REF!</v>
      </c>
      <c r="J34" s="20" t="e">
        <f t="shared" si="5"/>
        <v>#REF!</v>
      </c>
      <c r="K34" s="20" t="e">
        <f t="shared" si="5"/>
        <v>#REF!</v>
      </c>
      <c r="L34" s="20" t="e">
        <f t="shared" si="5"/>
        <v>#REF!</v>
      </c>
      <c r="M34" s="20" t="e">
        <f t="shared" si="5"/>
        <v>#REF!</v>
      </c>
      <c r="N34" s="20" t="e">
        <f t="shared" si="5"/>
        <v>#REF!</v>
      </c>
      <c r="O34" s="20" t="e">
        <f t="shared" si="5"/>
        <v>#REF!</v>
      </c>
      <c r="P34" s="20" t="e">
        <f t="shared" si="5"/>
        <v>#REF!</v>
      </c>
      <c r="Q34" s="20" t="e">
        <f t="shared" si="6"/>
        <v>#REF!</v>
      </c>
      <c r="R34" s="20" t="e">
        <f t="shared" si="6"/>
        <v>#REF!</v>
      </c>
      <c r="S34" s="20" t="e">
        <f t="shared" si="6"/>
        <v>#REF!</v>
      </c>
      <c r="T34" s="20" t="e">
        <f t="shared" si="6"/>
        <v>#REF!</v>
      </c>
      <c r="U34" s="20" t="e">
        <f t="shared" si="6"/>
        <v>#REF!</v>
      </c>
      <c r="V34" s="20" t="e">
        <f t="shared" si="6"/>
        <v>#REF!</v>
      </c>
      <c r="W34" s="20" t="e">
        <f t="shared" si="6"/>
        <v>#REF!</v>
      </c>
      <c r="X34" s="20" t="e">
        <f t="shared" si="6"/>
        <v>#REF!</v>
      </c>
      <c r="Y34" s="20" t="e">
        <f t="shared" si="6"/>
        <v>#REF!</v>
      </c>
      <c r="Z34" s="20" t="e">
        <f t="shared" si="6"/>
        <v>#REF!</v>
      </c>
      <c r="AA34" s="20" t="e">
        <f t="shared" si="6"/>
        <v>#REF!</v>
      </c>
      <c r="AB34" s="20" t="e">
        <f t="shared" si="6"/>
        <v>#REF!</v>
      </c>
      <c r="AC34" s="20" t="e">
        <f t="shared" si="6"/>
        <v>#REF!</v>
      </c>
      <c r="AD34" s="20" t="e">
        <f t="shared" si="6"/>
        <v>#REF!</v>
      </c>
      <c r="AE34" s="20" t="e">
        <f t="shared" si="6"/>
        <v>#REF!</v>
      </c>
      <c r="AF34" s="20" t="e">
        <f t="shared" si="6"/>
        <v>#REF!</v>
      </c>
    </row>
    <row r="35" spans="2:32" x14ac:dyDescent="0.2">
      <c r="B35" s="172" t="e">
        <f>+'Option inputs'!#REF!</f>
        <v>#REF!</v>
      </c>
      <c r="C35" s="13" t="e">
        <f>+'Option inputs'!#REF!</f>
        <v>#REF!</v>
      </c>
      <c r="D35" s="164"/>
      <c r="E35" s="173" t="s">
        <v>35</v>
      </c>
      <c r="F35" s="21" t="e">
        <f t="shared" si="4"/>
        <v>#REF!</v>
      </c>
      <c r="G35" s="20" t="e">
        <f t="shared" si="5"/>
        <v>#REF!</v>
      </c>
      <c r="H35" s="20" t="e">
        <f t="shared" si="5"/>
        <v>#REF!</v>
      </c>
      <c r="I35" s="20" t="e">
        <f t="shared" si="5"/>
        <v>#REF!</v>
      </c>
      <c r="J35" s="20" t="e">
        <f t="shared" si="5"/>
        <v>#REF!</v>
      </c>
      <c r="K35" s="20" t="e">
        <f t="shared" si="5"/>
        <v>#REF!</v>
      </c>
      <c r="L35" s="20" t="e">
        <f t="shared" si="5"/>
        <v>#REF!</v>
      </c>
      <c r="M35" s="20" t="e">
        <f t="shared" si="5"/>
        <v>#REF!</v>
      </c>
      <c r="N35" s="20" t="e">
        <f t="shared" si="5"/>
        <v>#REF!</v>
      </c>
      <c r="O35" s="20" t="e">
        <f t="shared" si="5"/>
        <v>#REF!</v>
      </c>
      <c r="P35" s="20" t="e">
        <f t="shared" si="5"/>
        <v>#REF!</v>
      </c>
      <c r="Q35" s="20" t="e">
        <f t="shared" si="6"/>
        <v>#REF!</v>
      </c>
      <c r="R35" s="20" t="e">
        <f t="shared" si="6"/>
        <v>#REF!</v>
      </c>
      <c r="S35" s="20" t="e">
        <f t="shared" si="6"/>
        <v>#REF!</v>
      </c>
      <c r="T35" s="20" t="e">
        <f t="shared" si="6"/>
        <v>#REF!</v>
      </c>
      <c r="U35" s="20" t="e">
        <f t="shared" si="6"/>
        <v>#REF!</v>
      </c>
      <c r="V35" s="20" t="e">
        <f t="shared" si="6"/>
        <v>#REF!</v>
      </c>
      <c r="W35" s="20" t="e">
        <f t="shared" si="6"/>
        <v>#REF!</v>
      </c>
      <c r="X35" s="20" t="e">
        <f t="shared" si="6"/>
        <v>#REF!</v>
      </c>
      <c r="Y35" s="20" t="e">
        <f t="shared" si="6"/>
        <v>#REF!</v>
      </c>
      <c r="Z35" s="20" t="e">
        <f t="shared" si="6"/>
        <v>#REF!</v>
      </c>
      <c r="AA35" s="20" t="e">
        <f t="shared" si="6"/>
        <v>#REF!</v>
      </c>
      <c r="AB35" s="20" t="e">
        <f t="shared" si="6"/>
        <v>#REF!</v>
      </c>
      <c r="AC35" s="20" t="e">
        <f t="shared" si="6"/>
        <v>#REF!</v>
      </c>
      <c r="AD35" s="20" t="e">
        <f t="shared" si="6"/>
        <v>#REF!</v>
      </c>
      <c r="AE35" s="20" t="e">
        <f t="shared" si="6"/>
        <v>#REF!</v>
      </c>
      <c r="AF35" s="20" t="e">
        <f t="shared" si="6"/>
        <v>#REF!</v>
      </c>
    </row>
    <row r="36" spans="2:32" x14ac:dyDescent="0.2">
      <c r="B36" s="172" t="e">
        <f>+'Option inputs'!#REF!</f>
        <v>#REF!</v>
      </c>
      <c r="C36" s="13" t="e">
        <f>+'Option inputs'!#REF!</f>
        <v>#REF!</v>
      </c>
      <c r="D36" s="164"/>
      <c r="E36" s="173" t="s">
        <v>35</v>
      </c>
      <c r="F36" s="21" t="e">
        <f t="shared" si="4"/>
        <v>#REF!</v>
      </c>
      <c r="G36" s="20" t="e">
        <f t="shared" si="5"/>
        <v>#REF!</v>
      </c>
      <c r="H36" s="20" t="e">
        <f t="shared" si="5"/>
        <v>#REF!</v>
      </c>
      <c r="I36" s="20" t="e">
        <f t="shared" si="5"/>
        <v>#REF!</v>
      </c>
      <c r="J36" s="20" t="e">
        <f t="shared" si="5"/>
        <v>#REF!</v>
      </c>
      <c r="K36" s="20" t="e">
        <f t="shared" si="5"/>
        <v>#REF!</v>
      </c>
      <c r="L36" s="20" t="e">
        <f t="shared" si="5"/>
        <v>#REF!</v>
      </c>
      <c r="M36" s="20" t="e">
        <f t="shared" si="5"/>
        <v>#REF!</v>
      </c>
      <c r="N36" s="20" t="e">
        <f t="shared" si="5"/>
        <v>#REF!</v>
      </c>
      <c r="O36" s="20" t="e">
        <f t="shared" si="5"/>
        <v>#REF!</v>
      </c>
      <c r="P36" s="20" t="e">
        <f t="shared" si="5"/>
        <v>#REF!</v>
      </c>
      <c r="Q36" s="20" t="e">
        <f t="shared" si="6"/>
        <v>#REF!</v>
      </c>
      <c r="R36" s="20" t="e">
        <f t="shared" si="6"/>
        <v>#REF!</v>
      </c>
      <c r="S36" s="20" t="e">
        <f t="shared" si="6"/>
        <v>#REF!</v>
      </c>
      <c r="T36" s="20" t="e">
        <f t="shared" si="6"/>
        <v>#REF!</v>
      </c>
      <c r="U36" s="20" t="e">
        <f t="shared" si="6"/>
        <v>#REF!</v>
      </c>
      <c r="V36" s="20" t="e">
        <f t="shared" si="6"/>
        <v>#REF!</v>
      </c>
      <c r="W36" s="20" t="e">
        <f t="shared" si="6"/>
        <v>#REF!</v>
      </c>
      <c r="X36" s="20" t="e">
        <f t="shared" si="6"/>
        <v>#REF!</v>
      </c>
      <c r="Y36" s="20" t="e">
        <f t="shared" si="6"/>
        <v>#REF!</v>
      </c>
      <c r="Z36" s="20" t="e">
        <f t="shared" si="6"/>
        <v>#REF!</v>
      </c>
      <c r="AA36" s="20" t="e">
        <f t="shared" si="6"/>
        <v>#REF!</v>
      </c>
      <c r="AB36" s="20" t="e">
        <f t="shared" si="6"/>
        <v>#REF!</v>
      </c>
      <c r="AC36" s="20" t="e">
        <f t="shared" si="6"/>
        <v>#REF!</v>
      </c>
      <c r="AD36" s="20" t="e">
        <f t="shared" si="6"/>
        <v>#REF!</v>
      </c>
      <c r="AE36" s="20" t="e">
        <f t="shared" si="6"/>
        <v>#REF!</v>
      </c>
      <c r="AF36" s="20" t="e">
        <f t="shared" si="6"/>
        <v>#REF!</v>
      </c>
    </row>
    <row r="37" spans="2:32" x14ac:dyDescent="0.2">
      <c r="B37" s="161"/>
      <c r="C37" s="165"/>
      <c r="D37" s="165"/>
      <c r="E37" s="161"/>
      <c r="H37" s="160"/>
      <c r="I37" s="14"/>
      <c r="J37" s="160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</row>
    <row r="38" spans="2:32" ht="15.75" x14ac:dyDescent="0.25">
      <c r="B38" s="166" t="s">
        <v>77</v>
      </c>
      <c r="C38" s="167"/>
      <c r="D38" s="167"/>
      <c r="E38" s="10"/>
      <c r="F38" s="10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</row>
    <row r="39" spans="2:32" ht="15.75" x14ac:dyDescent="0.25">
      <c r="B39" s="168" t="s">
        <v>14</v>
      </c>
      <c r="C39" s="169" t="s">
        <v>13</v>
      </c>
      <c r="D39" s="169"/>
      <c r="E39" s="170" t="s">
        <v>22</v>
      </c>
      <c r="F39" s="170" t="s">
        <v>37</v>
      </c>
      <c r="G39" s="171" t="str">
        <f>G$55</f>
        <v>FY 2020-21</v>
      </c>
      <c r="H39" s="171" t="str">
        <f t="shared" ref="H39:AF39" si="7">H$55</f>
        <v>FY 2021-22</v>
      </c>
      <c r="I39" s="171" t="str">
        <f t="shared" si="7"/>
        <v>FY 2022-23</v>
      </c>
      <c r="J39" s="171" t="str">
        <f t="shared" si="7"/>
        <v>FY 2023-24</v>
      </c>
      <c r="K39" s="171" t="str">
        <f t="shared" si="7"/>
        <v>FY 2024-25</v>
      </c>
      <c r="L39" s="171" t="str">
        <f t="shared" si="7"/>
        <v>FY 2025-26</v>
      </c>
      <c r="M39" s="171" t="str">
        <f t="shared" si="7"/>
        <v>FY 2026-27</v>
      </c>
      <c r="N39" s="171" t="str">
        <f t="shared" si="7"/>
        <v>FY 2027-28</v>
      </c>
      <c r="O39" s="171" t="str">
        <f t="shared" si="7"/>
        <v>FY 2028-29</v>
      </c>
      <c r="P39" s="171" t="str">
        <f t="shared" si="7"/>
        <v>FY 2029-30</v>
      </c>
      <c r="Q39" s="171" t="str">
        <f t="shared" si="7"/>
        <v>FY 2030-31</v>
      </c>
      <c r="R39" s="171" t="str">
        <f t="shared" si="7"/>
        <v>FY 2031-32</v>
      </c>
      <c r="S39" s="171" t="str">
        <f t="shared" si="7"/>
        <v>FY 2032-33</v>
      </c>
      <c r="T39" s="171" t="str">
        <f t="shared" si="7"/>
        <v>FY 2033-34</v>
      </c>
      <c r="U39" s="171" t="str">
        <f t="shared" si="7"/>
        <v>FY 2034-35</v>
      </c>
      <c r="V39" s="171" t="str">
        <f t="shared" si="7"/>
        <v>FY 2035-36</v>
      </c>
      <c r="W39" s="171" t="str">
        <f t="shared" si="7"/>
        <v>FY 2036-37</v>
      </c>
      <c r="X39" s="171" t="str">
        <f t="shared" si="7"/>
        <v>FY 2037-38</v>
      </c>
      <c r="Y39" s="171" t="str">
        <f t="shared" si="7"/>
        <v>FY 2038-39</v>
      </c>
      <c r="Z39" s="171" t="str">
        <f t="shared" si="7"/>
        <v>FY 2039-40</v>
      </c>
      <c r="AA39" s="171" t="str">
        <f t="shared" si="7"/>
        <v>FY 2040-41</v>
      </c>
      <c r="AB39" s="171" t="str">
        <f t="shared" si="7"/>
        <v>FY 2041-42</v>
      </c>
      <c r="AC39" s="171" t="str">
        <f t="shared" si="7"/>
        <v>FY 2042-43</v>
      </c>
      <c r="AD39" s="171" t="str">
        <f t="shared" si="7"/>
        <v>FY 2043-44</v>
      </c>
      <c r="AE39" s="171" t="str">
        <f t="shared" si="7"/>
        <v>FY 2044-45</v>
      </c>
      <c r="AF39" s="171" t="str">
        <f t="shared" si="7"/>
        <v>FY 2045-46</v>
      </c>
    </row>
    <row r="40" spans="2:32" x14ac:dyDescent="0.2">
      <c r="B40" s="172">
        <f>+'Option inputs'!$B$15</f>
        <v>1</v>
      </c>
      <c r="C40" s="13" t="str">
        <f>+'Option inputs'!$C$15</f>
        <v>Option 1A</v>
      </c>
      <c r="D40" s="164"/>
      <c r="E40" s="173" t="s">
        <v>35</v>
      </c>
      <c r="F40" s="21">
        <f t="shared" ref="F40:F49" si="8">SUMIF($C$59:$C$71,$C40,F$59:F$71)+SUMIF($C$87:$C$150,$C40,F$87:F$150)</f>
        <v>33143849.91733402</v>
      </c>
      <c r="G40" s="20">
        <f t="shared" ref="G40:V49" si="9">SUMIF($C$59:$C$71,$C40,G$59:G$71)</f>
        <v>0</v>
      </c>
      <c r="H40" s="20">
        <f t="shared" si="9"/>
        <v>-52750000</v>
      </c>
      <c r="I40" s="20">
        <f t="shared" si="9"/>
        <v>-52750000</v>
      </c>
      <c r="J40" s="20">
        <f t="shared" si="9"/>
        <v>-52750000</v>
      </c>
      <c r="K40" s="20">
        <f t="shared" si="9"/>
        <v>-52750000</v>
      </c>
      <c r="L40" s="20">
        <f t="shared" si="9"/>
        <v>0</v>
      </c>
      <c r="M40" s="20">
        <f t="shared" si="9"/>
        <v>0</v>
      </c>
      <c r="N40" s="20">
        <f t="shared" si="9"/>
        <v>0</v>
      </c>
      <c r="O40" s="20">
        <f t="shared" si="9"/>
        <v>0</v>
      </c>
      <c r="P40" s="20">
        <f t="shared" si="9"/>
        <v>0</v>
      </c>
      <c r="Q40" s="20">
        <f t="shared" si="9"/>
        <v>0</v>
      </c>
      <c r="R40" s="20">
        <f t="shared" si="9"/>
        <v>0</v>
      </c>
      <c r="S40" s="20">
        <f t="shared" si="9"/>
        <v>0</v>
      </c>
      <c r="T40" s="20">
        <f t="shared" si="9"/>
        <v>0</v>
      </c>
      <c r="U40" s="20">
        <f t="shared" si="9"/>
        <v>0</v>
      </c>
      <c r="V40" s="20">
        <f t="shared" si="9"/>
        <v>0</v>
      </c>
      <c r="W40" s="20">
        <f t="shared" ref="Q40:AF49" si="10">SUMIF($C$59:$C$71,$C40,W$59:W$71)</f>
        <v>0</v>
      </c>
      <c r="X40" s="20">
        <f t="shared" si="10"/>
        <v>0</v>
      </c>
      <c r="Y40" s="20">
        <f t="shared" si="10"/>
        <v>0</v>
      </c>
      <c r="Z40" s="20">
        <f t="shared" si="10"/>
        <v>0</v>
      </c>
      <c r="AA40" s="20">
        <f t="shared" si="10"/>
        <v>0</v>
      </c>
      <c r="AB40" s="20">
        <f t="shared" si="10"/>
        <v>0</v>
      </c>
      <c r="AC40" s="20">
        <f t="shared" si="10"/>
        <v>0</v>
      </c>
      <c r="AD40" s="20">
        <f t="shared" si="10"/>
        <v>0</v>
      </c>
      <c r="AE40" s="20">
        <f t="shared" si="10"/>
        <v>0</v>
      </c>
      <c r="AF40" s="20">
        <f t="shared" si="10"/>
        <v>116180000</v>
      </c>
    </row>
    <row r="41" spans="2:32" x14ac:dyDescent="0.2">
      <c r="B41" s="172">
        <f>+'Option inputs'!$B$16</f>
        <v>2</v>
      </c>
      <c r="C41" s="13" t="str">
        <f>+'Option inputs'!$C$16</f>
        <v>Option 1B</v>
      </c>
      <c r="D41" s="164"/>
      <c r="E41" s="173" t="s">
        <v>35</v>
      </c>
      <c r="F41" s="21">
        <f t="shared" si="8"/>
        <v>-30754433.653094769</v>
      </c>
      <c r="G41" s="20">
        <f t="shared" si="9"/>
        <v>0</v>
      </c>
      <c r="H41" s="20">
        <f t="shared" si="9"/>
        <v>-75750000</v>
      </c>
      <c r="I41" s="20">
        <f t="shared" si="9"/>
        <v>-75750000</v>
      </c>
      <c r="J41" s="20">
        <f t="shared" si="9"/>
        <v>-75750000</v>
      </c>
      <c r="K41" s="20">
        <f t="shared" si="9"/>
        <v>-75750000</v>
      </c>
      <c r="L41" s="20">
        <f t="shared" si="9"/>
        <v>0</v>
      </c>
      <c r="M41" s="20">
        <f t="shared" si="9"/>
        <v>0</v>
      </c>
      <c r="N41" s="20">
        <f t="shared" si="9"/>
        <v>0</v>
      </c>
      <c r="O41" s="20">
        <f t="shared" si="9"/>
        <v>0</v>
      </c>
      <c r="P41" s="20">
        <f t="shared" si="9"/>
        <v>0</v>
      </c>
      <c r="Q41" s="20">
        <f t="shared" si="10"/>
        <v>0</v>
      </c>
      <c r="R41" s="20">
        <f t="shared" si="10"/>
        <v>0</v>
      </c>
      <c r="S41" s="20">
        <f t="shared" si="10"/>
        <v>0</v>
      </c>
      <c r="T41" s="20">
        <f t="shared" si="10"/>
        <v>0</v>
      </c>
      <c r="U41" s="20">
        <f t="shared" si="10"/>
        <v>0</v>
      </c>
      <c r="V41" s="20">
        <f t="shared" si="10"/>
        <v>0</v>
      </c>
      <c r="W41" s="20">
        <f t="shared" si="10"/>
        <v>0</v>
      </c>
      <c r="X41" s="20">
        <f t="shared" si="10"/>
        <v>0</v>
      </c>
      <c r="Y41" s="20">
        <f t="shared" si="10"/>
        <v>0</v>
      </c>
      <c r="Z41" s="20">
        <f t="shared" si="10"/>
        <v>0</v>
      </c>
      <c r="AA41" s="20">
        <f t="shared" si="10"/>
        <v>0</v>
      </c>
      <c r="AB41" s="20">
        <f t="shared" si="10"/>
        <v>0</v>
      </c>
      <c r="AC41" s="20">
        <f t="shared" si="10"/>
        <v>0</v>
      </c>
      <c r="AD41" s="20">
        <f t="shared" si="10"/>
        <v>0</v>
      </c>
      <c r="AE41" s="20">
        <f t="shared" si="10"/>
        <v>0</v>
      </c>
      <c r="AF41" s="20">
        <f t="shared" si="10"/>
        <v>167370000</v>
      </c>
    </row>
    <row r="42" spans="2:32" x14ac:dyDescent="0.2">
      <c r="B42" s="172">
        <f>+'Option inputs'!$B$17</f>
        <v>3</v>
      </c>
      <c r="C42" s="13" t="str">
        <f>+'Option inputs'!$C$17</f>
        <v>Option 2</v>
      </c>
      <c r="D42" s="164"/>
      <c r="E42" s="173" t="s">
        <v>35</v>
      </c>
      <c r="F42" s="21">
        <f t="shared" si="8"/>
        <v>-80645907.267827809</v>
      </c>
      <c r="G42" s="20">
        <f t="shared" si="9"/>
        <v>0</v>
      </c>
      <c r="H42" s="20">
        <f t="shared" si="9"/>
        <v>-98250000</v>
      </c>
      <c r="I42" s="20">
        <f t="shared" si="9"/>
        <v>-98250000</v>
      </c>
      <c r="J42" s="20">
        <f t="shared" si="9"/>
        <v>-98250000</v>
      </c>
      <c r="K42" s="20">
        <f t="shared" si="9"/>
        <v>-98250000</v>
      </c>
      <c r="L42" s="20">
        <f t="shared" si="9"/>
        <v>0</v>
      </c>
      <c r="M42" s="20">
        <f t="shared" si="9"/>
        <v>0</v>
      </c>
      <c r="N42" s="20">
        <f t="shared" si="9"/>
        <v>0</v>
      </c>
      <c r="O42" s="20">
        <f t="shared" si="9"/>
        <v>0</v>
      </c>
      <c r="P42" s="20">
        <f t="shared" si="9"/>
        <v>0</v>
      </c>
      <c r="Q42" s="20">
        <f t="shared" si="10"/>
        <v>0</v>
      </c>
      <c r="R42" s="20">
        <f t="shared" si="10"/>
        <v>0</v>
      </c>
      <c r="S42" s="20">
        <f t="shared" si="10"/>
        <v>0</v>
      </c>
      <c r="T42" s="20">
        <f t="shared" si="10"/>
        <v>0</v>
      </c>
      <c r="U42" s="20">
        <f t="shared" si="10"/>
        <v>0</v>
      </c>
      <c r="V42" s="20">
        <f t="shared" si="10"/>
        <v>0</v>
      </c>
      <c r="W42" s="20">
        <f t="shared" si="10"/>
        <v>0</v>
      </c>
      <c r="X42" s="20">
        <f t="shared" si="10"/>
        <v>0</v>
      </c>
      <c r="Y42" s="20">
        <f t="shared" si="10"/>
        <v>0</v>
      </c>
      <c r="Z42" s="20">
        <f t="shared" si="10"/>
        <v>0</v>
      </c>
      <c r="AA42" s="20">
        <f t="shared" si="10"/>
        <v>0</v>
      </c>
      <c r="AB42" s="20">
        <f t="shared" si="10"/>
        <v>0</v>
      </c>
      <c r="AC42" s="20">
        <f t="shared" si="10"/>
        <v>0</v>
      </c>
      <c r="AD42" s="20">
        <f t="shared" si="10"/>
        <v>0</v>
      </c>
      <c r="AE42" s="20">
        <f t="shared" si="10"/>
        <v>0</v>
      </c>
      <c r="AF42" s="20">
        <f t="shared" si="10"/>
        <v>217550000</v>
      </c>
    </row>
    <row r="43" spans="2:32" x14ac:dyDescent="0.2">
      <c r="B43" s="172">
        <f>+'Option inputs'!$B$18</f>
        <v>4</v>
      </c>
      <c r="C43" s="13" t="str">
        <f>+'Option inputs'!$C$18</f>
        <v>Option 3</v>
      </c>
      <c r="D43" s="164"/>
      <c r="E43" s="173" t="s">
        <v>35</v>
      </c>
      <c r="F43" s="21">
        <f t="shared" si="8"/>
        <v>-4694282.3835527673</v>
      </c>
      <c r="G43" s="20">
        <f t="shared" si="9"/>
        <v>0</v>
      </c>
      <c r="H43" s="20">
        <f t="shared" si="9"/>
        <v>-16666666.666666666</v>
      </c>
      <c r="I43" s="20">
        <f t="shared" si="9"/>
        <v>-16666666.666666666</v>
      </c>
      <c r="J43" s="20">
        <f t="shared" si="9"/>
        <v>-16666666.666666666</v>
      </c>
      <c r="K43" s="20">
        <f t="shared" si="9"/>
        <v>0</v>
      </c>
      <c r="L43" s="20">
        <f t="shared" si="9"/>
        <v>0</v>
      </c>
      <c r="M43" s="20">
        <f t="shared" si="9"/>
        <v>0</v>
      </c>
      <c r="N43" s="20">
        <f t="shared" si="9"/>
        <v>0</v>
      </c>
      <c r="O43" s="20">
        <f t="shared" si="9"/>
        <v>0</v>
      </c>
      <c r="P43" s="20">
        <f t="shared" si="9"/>
        <v>0</v>
      </c>
      <c r="Q43" s="20">
        <f t="shared" si="10"/>
        <v>0</v>
      </c>
      <c r="R43" s="20">
        <f t="shared" si="10"/>
        <v>0</v>
      </c>
      <c r="S43" s="20">
        <f t="shared" si="10"/>
        <v>0</v>
      </c>
      <c r="T43" s="20">
        <f t="shared" si="10"/>
        <v>0</v>
      </c>
      <c r="U43" s="20">
        <f t="shared" si="10"/>
        <v>0</v>
      </c>
      <c r="V43" s="20">
        <f t="shared" si="10"/>
        <v>0</v>
      </c>
      <c r="W43" s="20">
        <f t="shared" si="10"/>
        <v>0</v>
      </c>
      <c r="X43" s="20">
        <f t="shared" si="10"/>
        <v>0</v>
      </c>
      <c r="Y43" s="20">
        <f t="shared" si="10"/>
        <v>0</v>
      </c>
      <c r="Z43" s="20">
        <f t="shared" si="10"/>
        <v>0</v>
      </c>
      <c r="AA43" s="20">
        <f t="shared" si="10"/>
        <v>0</v>
      </c>
      <c r="AB43" s="20">
        <f t="shared" si="10"/>
        <v>0</v>
      </c>
      <c r="AC43" s="20">
        <f t="shared" si="10"/>
        <v>0</v>
      </c>
      <c r="AD43" s="20">
        <f t="shared" si="10"/>
        <v>0</v>
      </c>
      <c r="AE43" s="20">
        <f t="shared" si="10"/>
        <v>0</v>
      </c>
      <c r="AF43" s="20">
        <f t="shared" si="10"/>
        <v>21250000</v>
      </c>
    </row>
    <row r="44" spans="2:32" x14ac:dyDescent="0.2">
      <c r="B44" s="172">
        <f>+'Option inputs'!$B$19</f>
        <v>5</v>
      </c>
      <c r="C44" s="13" t="str">
        <f>+'Option inputs'!$C$19</f>
        <v>Option 4</v>
      </c>
      <c r="D44" s="164"/>
      <c r="E44" s="173" t="s">
        <v>35</v>
      </c>
      <c r="F44" s="21">
        <f t="shared" si="8"/>
        <v>0</v>
      </c>
      <c r="G44" s="20" t="e">
        <f t="shared" si="9"/>
        <v>#VALUE!</v>
      </c>
      <c r="H44" s="20">
        <f t="shared" si="9"/>
        <v>0</v>
      </c>
      <c r="I44" s="20">
        <f t="shared" si="9"/>
        <v>0</v>
      </c>
      <c r="J44" s="20">
        <f t="shared" si="9"/>
        <v>0</v>
      </c>
      <c r="K44" s="20">
        <f t="shared" si="9"/>
        <v>0</v>
      </c>
      <c r="L44" s="20">
        <f t="shared" si="9"/>
        <v>0</v>
      </c>
      <c r="M44" s="20">
        <f t="shared" si="9"/>
        <v>0</v>
      </c>
      <c r="N44" s="20">
        <f t="shared" si="9"/>
        <v>0</v>
      </c>
      <c r="O44" s="20">
        <f t="shared" si="9"/>
        <v>0</v>
      </c>
      <c r="P44" s="20">
        <f t="shared" si="9"/>
        <v>0</v>
      </c>
      <c r="Q44" s="20">
        <f t="shared" si="10"/>
        <v>0</v>
      </c>
      <c r="R44" s="20">
        <f t="shared" si="10"/>
        <v>0</v>
      </c>
      <c r="S44" s="20">
        <f t="shared" si="10"/>
        <v>0</v>
      </c>
      <c r="T44" s="20">
        <f t="shared" si="10"/>
        <v>0</v>
      </c>
      <c r="U44" s="20">
        <f t="shared" si="10"/>
        <v>0</v>
      </c>
      <c r="V44" s="20">
        <f t="shared" si="10"/>
        <v>0</v>
      </c>
      <c r="W44" s="20">
        <f t="shared" si="10"/>
        <v>0</v>
      </c>
      <c r="X44" s="20">
        <f t="shared" si="10"/>
        <v>0</v>
      </c>
      <c r="Y44" s="20">
        <f t="shared" si="10"/>
        <v>0</v>
      </c>
      <c r="Z44" s="20">
        <f t="shared" si="10"/>
        <v>0</v>
      </c>
      <c r="AA44" s="20">
        <f t="shared" si="10"/>
        <v>0</v>
      </c>
      <c r="AB44" s="20">
        <f t="shared" si="10"/>
        <v>0</v>
      </c>
      <c r="AC44" s="20">
        <f t="shared" si="10"/>
        <v>0</v>
      </c>
      <c r="AD44" s="20">
        <f t="shared" si="10"/>
        <v>0</v>
      </c>
      <c r="AE44" s="20">
        <f t="shared" si="10"/>
        <v>0</v>
      </c>
      <c r="AF44" s="20">
        <f t="shared" si="10"/>
        <v>0</v>
      </c>
    </row>
    <row r="45" spans="2:32" x14ac:dyDescent="0.2">
      <c r="B45" s="172">
        <f>+'Option inputs'!$B$20</f>
        <v>6</v>
      </c>
      <c r="C45" s="13" t="str">
        <f>+'Option inputs'!$C$20</f>
        <v>Option 5</v>
      </c>
      <c r="D45" s="164"/>
      <c r="E45" s="173" t="s">
        <v>35</v>
      </c>
      <c r="F45" s="21">
        <f t="shared" si="8"/>
        <v>0</v>
      </c>
      <c r="G45" s="20" t="e">
        <f t="shared" si="9"/>
        <v>#VALUE!</v>
      </c>
      <c r="H45" s="20">
        <f t="shared" si="9"/>
        <v>0</v>
      </c>
      <c r="I45" s="20">
        <f t="shared" si="9"/>
        <v>0</v>
      </c>
      <c r="J45" s="20">
        <f t="shared" si="9"/>
        <v>0</v>
      </c>
      <c r="K45" s="20">
        <f t="shared" si="9"/>
        <v>0</v>
      </c>
      <c r="L45" s="20">
        <f t="shared" si="9"/>
        <v>0</v>
      </c>
      <c r="M45" s="20">
        <f t="shared" si="9"/>
        <v>0</v>
      </c>
      <c r="N45" s="20">
        <f t="shared" si="9"/>
        <v>0</v>
      </c>
      <c r="O45" s="20">
        <f t="shared" si="9"/>
        <v>0</v>
      </c>
      <c r="P45" s="20">
        <f t="shared" si="9"/>
        <v>0</v>
      </c>
      <c r="Q45" s="20">
        <f t="shared" si="10"/>
        <v>0</v>
      </c>
      <c r="R45" s="20">
        <f t="shared" si="10"/>
        <v>0</v>
      </c>
      <c r="S45" s="20">
        <f t="shared" si="10"/>
        <v>0</v>
      </c>
      <c r="T45" s="20">
        <f t="shared" si="10"/>
        <v>0</v>
      </c>
      <c r="U45" s="20">
        <f t="shared" si="10"/>
        <v>0</v>
      </c>
      <c r="V45" s="20">
        <f t="shared" si="10"/>
        <v>0</v>
      </c>
      <c r="W45" s="20">
        <f t="shared" si="10"/>
        <v>0</v>
      </c>
      <c r="X45" s="20">
        <f t="shared" si="10"/>
        <v>0</v>
      </c>
      <c r="Y45" s="20">
        <f t="shared" si="10"/>
        <v>0</v>
      </c>
      <c r="Z45" s="20">
        <f t="shared" si="10"/>
        <v>0</v>
      </c>
      <c r="AA45" s="20">
        <f t="shared" si="10"/>
        <v>0</v>
      </c>
      <c r="AB45" s="20">
        <f t="shared" si="10"/>
        <v>0</v>
      </c>
      <c r="AC45" s="20">
        <f t="shared" si="10"/>
        <v>0</v>
      </c>
      <c r="AD45" s="20">
        <f t="shared" si="10"/>
        <v>0</v>
      </c>
      <c r="AE45" s="20">
        <f t="shared" si="10"/>
        <v>0</v>
      </c>
      <c r="AF45" s="20">
        <f t="shared" si="10"/>
        <v>0</v>
      </c>
    </row>
    <row r="46" spans="2:32" x14ac:dyDescent="0.2">
      <c r="B46" s="172" t="e">
        <f>+'Option inputs'!#REF!</f>
        <v>#REF!</v>
      </c>
      <c r="C46" s="13" t="e">
        <f>+'Option inputs'!#REF!</f>
        <v>#REF!</v>
      </c>
      <c r="D46" s="164"/>
      <c r="E46" s="173" t="s">
        <v>35</v>
      </c>
      <c r="F46" s="21" t="e">
        <f t="shared" si="8"/>
        <v>#REF!</v>
      </c>
      <c r="G46" s="20" t="e">
        <f t="shared" si="9"/>
        <v>#REF!</v>
      </c>
      <c r="H46" s="20" t="e">
        <f t="shared" si="9"/>
        <v>#REF!</v>
      </c>
      <c r="I46" s="20" t="e">
        <f t="shared" si="9"/>
        <v>#REF!</v>
      </c>
      <c r="J46" s="20" t="e">
        <f t="shared" si="9"/>
        <v>#REF!</v>
      </c>
      <c r="K46" s="20" t="e">
        <f t="shared" si="9"/>
        <v>#REF!</v>
      </c>
      <c r="L46" s="20" t="e">
        <f t="shared" si="9"/>
        <v>#REF!</v>
      </c>
      <c r="M46" s="20" t="e">
        <f t="shared" si="9"/>
        <v>#REF!</v>
      </c>
      <c r="N46" s="20" t="e">
        <f t="shared" si="9"/>
        <v>#REF!</v>
      </c>
      <c r="O46" s="20" t="e">
        <f t="shared" si="9"/>
        <v>#REF!</v>
      </c>
      <c r="P46" s="20" t="e">
        <f t="shared" si="9"/>
        <v>#REF!</v>
      </c>
      <c r="Q46" s="20" t="e">
        <f t="shared" si="10"/>
        <v>#REF!</v>
      </c>
      <c r="R46" s="20" t="e">
        <f t="shared" si="10"/>
        <v>#REF!</v>
      </c>
      <c r="S46" s="20" t="e">
        <f t="shared" si="10"/>
        <v>#REF!</v>
      </c>
      <c r="T46" s="20" t="e">
        <f t="shared" si="10"/>
        <v>#REF!</v>
      </c>
      <c r="U46" s="20" t="e">
        <f t="shared" si="10"/>
        <v>#REF!</v>
      </c>
      <c r="V46" s="20" t="e">
        <f t="shared" si="10"/>
        <v>#REF!</v>
      </c>
      <c r="W46" s="20" t="e">
        <f t="shared" si="10"/>
        <v>#REF!</v>
      </c>
      <c r="X46" s="20" t="e">
        <f t="shared" si="10"/>
        <v>#REF!</v>
      </c>
      <c r="Y46" s="20" t="e">
        <f t="shared" si="10"/>
        <v>#REF!</v>
      </c>
      <c r="Z46" s="20" t="e">
        <f t="shared" si="10"/>
        <v>#REF!</v>
      </c>
      <c r="AA46" s="20" t="e">
        <f t="shared" si="10"/>
        <v>#REF!</v>
      </c>
      <c r="AB46" s="20" t="e">
        <f t="shared" si="10"/>
        <v>#REF!</v>
      </c>
      <c r="AC46" s="20" t="e">
        <f t="shared" si="10"/>
        <v>#REF!</v>
      </c>
      <c r="AD46" s="20" t="e">
        <f t="shared" si="10"/>
        <v>#REF!</v>
      </c>
      <c r="AE46" s="20" t="e">
        <f t="shared" si="10"/>
        <v>#REF!</v>
      </c>
      <c r="AF46" s="20" t="e">
        <f t="shared" si="10"/>
        <v>#REF!</v>
      </c>
    </row>
    <row r="47" spans="2:32" x14ac:dyDescent="0.2">
      <c r="B47" s="172" t="e">
        <f>+'Option inputs'!#REF!</f>
        <v>#REF!</v>
      </c>
      <c r="C47" s="13" t="e">
        <f>+'Option inputs'!#REF!</f>
        <v>#REF!</v>
      </c>
      <c r="D47" s="164"/>
      <c r="E47" s="173" t="s">
        <v>35</v>
      </c>
      <c r="F47" s="21" t="e">
        <f t="shared" si="8"/>
        <v>#REF!</v>
      </c>
      <c r="G47" s="20" t="e">
        <f t="shared" si="9"/>
        <v>#REF!</v>
      </c>
      <c r="H47" s="20" t="e">
        <f t="shared" si="9"/>
        <v>#REF!</v>
      </c>
      <c r="I47" s="20" t="e">
        <f t="shared" si="9"/>
        <v>#REF!</v>
      </c>
      <c r="J47" s="20" t="e">
        <f t="shared" si="9"/>
        <v>#REF!</v>
      </c>
      <c r="K47" s="20" t="e">
        <f t="shared" si="9"/>
        <v>#REF!</v>
      </c>
      <c r="L47" s="20" t="e">
        <f t="shared" si="9"/>
        <v>#REF!</v>
      </c>
      <c r="M47" s="20" t="e">
        <f t="shared" si="9"/>
        <v>#REF!</v>
      </c>
      <c r="N47" s="20" t="e">
        <f t="shared" si="9"/>
        <v>#REF!</v>
      </c>
      <c r="O47" s="20" t="e">
        <f t="shared" si="9"/>
        <v>#REF!</v>
      </c>
      <c r="P47" s="20" t="e">
        <f t="shared" si="9"/>
        <v>#REF!</v>
      </c>
      <c r="Q47" s="20" t="e">
        <f t="shared" si="10"/>
        <v>#REF!</v>
      </c>
      <c r="R47" s="20" t="e">
        <f t="shared" si="10"/>
        <v>#REF!</v>
      </c>
      <c r="S47" s="20" t="e">
        <f t="shared" si="10"/>
        <v>#REF!</v>
      </c>
      <c r="T47" s="20" t="e">
        <f t="shared" si="10"/>
        <v>#REF!</v>
      </c>
      <c r="U47" s="20" t="e">
        <f t="shared" si="10"/>
        <v>#REF!</v>
      </c>
      <c r="V47" s="20" t="e">
        <f t="shared" si="10"/>
        <v>#REF!</v>
      </c>
      <c r="W47" s="20" t="e">
        <f t="shared" si="10"/>
        <v>#REF!</v>
      </c>
      <c r="X47" s="20" t="e">
        <f t="shared" si="10"/>
        <v>#REF!</v>
      </c>
      <c r="Y47" s="20" t="e">
        <f t="shared" si="10"/>
        <v>#REF!</v>
      </c>
      <c r="Z47" s="20" t="e">
        <f t="shared" si="10"/>
        <v>#REF!</v>
      </c>
      <c r="AA47" s="20" t="e">
        <f t="shared" si="10"/>
        <v>#REF!</v>
      </c>
      <c r="AB47" s="20" t="e">
        <f t="shared" si="10"/>
        <v>#REF!</v>
      </c>
      <c r="AC47" s="20" t="e">
        <f t="shared" si="10"/>
        <v>#REF!</v>
      </c>
      <c r="AD47" s="20" t="e">
        <f t="shared" si="10"/>
        <v>#REF!</v>
      </c>
      <c r="AE47" s="20" t="e">
        <f t="shared" si="10"/>
        <v>#REF!</v>
      </c>
      <c r="AF47" s="20" t="e">
        <f t="shared" si="10"/>
        <v>#REF!</v>
      </c>
    </row>
    <row r="48" spans="2:32" x14ac:dyDescent="0.2">
      <c r="B48" s="172" t="e">
        <f>+'Option inputs'!#REF!</f>
        <v>#REF!</v>
      </c>
      <c r="C48" s="13" t="e">
        <f>+'Option inputs'!#REF!</f>
        <v>#REF!</v>
      </c>
      <c r="D48" s="164"/>
      <c r="E48" s="173" t="s">
        <v>35</v>
      </c>
      <c r="F48" s="21" t="e">
        <f t="shared" si="8"/>
        <v>#REF!</v>
      </c>
      <c r="G48" s="20" t="e">
        <f t="shared" si="9"/>
        <v>#REF!</v>
      </c>
      <c r="H48" s="20" t="e">
        <f t="shared" si="9"/>
        <v>#REF!</v>
      </c>
      <c r="I48" s="20" t="e">
        <f t="shared" si="9"/>
        <v>#REF!</v>
      </c>
      <c r="J48" s="20" t="e">
        <f t="shared" si="9"/>
        <v>#REF!</v>
      </c>
      <c r="K48" s="20" t="e">
        <f t="shared" si="9"/>
        <v>#REF!</v>
      </c>
      <c r="L48" s="20" t="e">
        <f t="shared" si="9"/>
        <v>#REF!</v>
      </c>
      <c r="M48" s="20" t="e">
        <f t="shared" si="9"/>
        <v>#REF!</v>
      </c>
      <c r="N48" s="20" t="e">
        <f t="shared" si="9"/>
        <v>#REF!</v>
      </c>
      <c r="O48" s="20" t="e">
        <f t="shared" si="9"/>
        <v>#REF!</v>
      </c>
      <c r="P48" s="20" t="e">
        <f t="shared" si="9"/>
        <v>#REF!</v>
      </c>
      <c r="Q48" s="20" t="e">
        <f t="shared" si="10"/>
        <v>#REF!</v>
      </c>
      <c r="R48" s="20" t="e">
        <f t="shared" si="10"/>
        <v>#REF!</v>
      </c>
      <c r="S48" s="20" t="e">
        <f t="shared" si="10"/>
        <v>#REF!</v>
      </c>
      <c r="T48" s="20" t="e">
        <f t="shared" si="10"/>
        <v>#REF!</v>
      </c>
      <c r="U48" s="20" t="e">
        <f t="shared" si="10"/>
        <v>#REF!</v>
      </c>
      <c r="V48" s="20" t="e">
        <f t="shared" si="10"/>
        <v>#REF!</v>
      </c>
      <c r="W48" s="20" t="e">
        <f t="shared" si="10"/>
        <v>#REF!</v>
      </c>
      <c r="X48" s="20" t="e">
        <f t="shared" si="10"/>
        <v>#REF!</v>
      </c>
      <c r="Y48" s="20" t="e">
        <f t="shared" si="10"/>
        <v>#REF!</v>
      </c>
      <c r="Z48" s="20" t="e">
        <f t="shared" si="10"/>
        <v>#REF!</v>
      </c>
      <c r="AA48" s="20" t="e">
        <f t="shared" si="10"/>
        <v>#REF!</v>
      </c>
      <c r="AB48" s="20" t="e">
        <f t="shared" si="10"/>
        <v>#REF!</v>
      </c>
      <c r="AC48" s="20" t="e">
        <f t="shared" si="10"/>
        <v>#REF!</v>
      </c>
      <c r="AD48" s="20" t="e">
        <f t="shared" si="10"/>
        <v>#REF!</v>
      </c>
      <c r="AE48" s="20" t="e">
        <f t="shared" si="10"/>
        <v>#REF!</v>
      </c>
      <c r="AF48" s="20" t="e">
        <f t="shared" si="10"/>
        <v>#REF!</v>
      </c>
    </row>
    <row r="49" spans="1:32" x14ac:dyDescent="0.2">
      <c r="B49" s="172" t="e">
        <f>+'Option inputs'!#REF!</f>
        <v>#REF!</v>
      </c>
      <c r="C49" s="13" t="e">
        <f>+'Option inputs'!#REF!</f>
        <v>#REF!</v>
      </c>
      <c r="D49" s="164"/>
      <c r="E49" s="173" t="s">
        <v>35</v>
      </c>
      <c r="F49" s="21" t="e">
        <f t="shared" si="8"/>
        <v>#REF!</v>
      </c>
      <c r="G49" s="20" t="e">
        <f t="shared" si="9"/>
        <v>#REF!</v>
      </c>
      <c r="H49" s="20" t="e">
        <f t="shared" si="9"/>
        <v>#REF!</v>
      </c>
      <c r="I49" s="20" t="e">
        <f t="shared" si="9"/>
        <v>#REF!</v>
      </c>
      <c r="J49" s="20" t="e">
        <f t="shared" si="9"/>
        <v>#REF!</v>
      </c>
      <c r="K49" s="20" t="e">
        <f t="shared" si="9"/>
        <v>#REF!</v>
      </c>
      <c r="L49" s="20" t="e">
        <f t="shared" si="9"/>
        <v>#REF!</v>
      </c>
      <c r="M49" s="20" t="e">
        <f t="shared" si="9"/>
        <v>#REF!</v>
      </c>
      <c r="N49" s="20" t="e">
        <f t="shared" si="9"/>
        <v>#REF!</v>
      </c>
      <c r="O49" s="20" t="e">
        <f t="shared" si="9"/>
        <v>#REF!</v>
      </c>
      <c r="P49" s="20" t="e">
        <f t="shared" si="9"/>
        <v>#REF!</v>
      </c>
      <c r="Q49" s="20" t="e">
        <f t="shared" si="10"/>
        <v>#REF!</v>
      </c>
      <c r="R49" s="20" t="e">
        <f t="shared" si="10"/>
        <v>#REF!</v>
      </c>
      <c r="S49" s="20" t="e">
        <f t="shared" si="10"/>
        <v>#REF!</v>
      </c>
      <c r="T49" s="20" t="e">
        <f t="shared" si="10"/>
        <v>#REF!</v>
      </c>
      <c r="U49" s="20" t="e">
        <f t="shared" si="10"/>
        <v>#REF!</v>
      </c>
      <c r="V49" s="20" t="e">
        <f t="shared" si="10"/>
        <v>#REF!</v>
      </c>
      <c r="W49" s="20" t="e">
        <f t="shared" si="10"/>
        <v>#REF!</v>
      </c>
      <c r="X49" s="20" t="e">
        <f t="shared" si="10"/>
        <v>#REF!</v>
      </c>
      <c r="Y49" s="20" t="e">
        <f t="shared" si="10"/>
        <v>#REF!</v>
      </c>
      <c r="Z49" s="20" t="e">
        <f t="shared" si="10"/>
        <v>#REF!</v>
      </c>
      <c r="AA49" s="20" t="e">
        <f t="shared" si="10"/>
        <v>#REF!</v>
      </c>
      <c r="AB49" s="20" t="e">
        <f t="shared" si="10"/>
        <v>#REF!</v>
      </c>
      <c r="AC49" s="20" t="e">
        <f t="shared" si="10"/>
        <v>#REF!</v>
      </c>
      <c r="AD49" s="20" t="e">
        <f t="shared" si="10"/>
        <v>#REF!</v>
      </c>
      <c r="AE49" s="20" t="e">
        <f t="shared" si="10"/>
        <v>#REF!</v>
      </c>
      <c r="AF49" s="20" t="e">
        <f t="shared" si="10"/>
        <v>#REF!</v>
      </c>
    </row>
    <row r="50" spans="1:32" x14ac:dyDescent="0.2">
      <c r="B50" s="161"/>
      <c r="C50" s="165"/>
      <c r="D50" s="165"/>
      <c r="E50" s="161"/>
      <c r="F50" s="161"/>
    </row>
    <row r="51" spans="1:32" ht="21" x14ac:dyDescent="0.35">
      <c r="B51" s="162" t="s">
        <v>50</v>
      </c>
      <c r="C51" s="163"/>
      <c r="D51" s="163"/>
      <c r="E51" s="162"/>
      <c r="F51" s="130"/>
      <c r="G51" s="130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pans="1:32" x14ac:dyDescent="0.2">
      <c r="B52" s="161"/>
      <c r="C52" s="165"/>
      <c r="D52" s="165"/>
      <c r="E52" s="161"/>
      <c r="F52" s="161"/>
    </row>
    <row r="53" spans="1:32" ht="15.75" x14ac:dyDescent="0.25">
      <c r="B53" s="58" t="s">
        <v>90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</row>
    <row r="54" spans="1:32" x14ac:dyDescent="0.2">
      <c r="B54" s="164" t="s">
        <v>94</v>
      </c>
      <c r="C54" s="164"/>
      <c r="D54" s="164"/>
      <c r="E54" s="164"/>
      <c r="F54" s="164"/>
      <c r="G54" s="142">
        <v>1</v>
      </c>
      <c r="H54" s="142">
        <f>G54+1</f>
        <v>2</v>
      </c>
      <c r="I54" s="142">
        <f t="shared" ref="I54:AF54" si="11">H54+1</f>
        <v>3</v>
      </c>
      <c r="J54" s="142">
        <f t="shared" si="11"/>
        <v>4</v>
      </c>
      <c r="K54" s="142">
        <f t="shared" si="11"/>
        <v>5</v>
      </c>
      <c r="L54" s="142">
        <f t="shared" si="11"/>
        <v>6</v>
      </c>
      <c r="M54" s="142">
        <f t="shared" si="11"/>
        <v>7</v>
      </c>
      <c r="N54" s="142">
        <f t="shared" si="11"/>
        <v>8</v>
      </c>
      <c r="O54" s="142">
        <f t="shared" si="11"/>
        <v>9</v>
      </c>
      <c r="P54" s="142">
        <f t="shared" si="11"/>
        <v>10</v>
      </c>
      <c r="Q54" s="142">
        <f t="shared" si="11"/>
        <v>11</v>
      </c>
      <c r="R54" s="142">
        <f t="shared" si="11"/>
        <v>12</v>
      </c>
      <c r="S54" s="142">
        <f t="shared" si="11"/>
        <v>13</v>
      </c>
      <c r="T54" s="142">
        <f t="shared" si="11"/>
        <v>14</v>
      </c>
      <c r="U54" s="142">
        <f t="shared" si="11"/>
        <v>15</v>
      </c>
      <c r="V54" s="142">
        <f t="shared" si="11"/>
        <v>16</v>
      </c>
      <c r="W54" s="142">
        <f t="shared" si="11"/>
        <v>17</v>
      </c>
      <c r="X54" s="142">
        <f t="shared" si="11"/>
        <v>18</v>
      </c>
      <c r="Y54" s="142">
        <f t="shared" si="11"/>
        <v>19</v>
      </c>
      <c r="Z54" s="142">
        <f t="shared" si="11"/>
        <v>20</v>
      </c>
      <c r="AA54" s="142">
        <f t="shared" si="11"/>
        <v>21</v>
      </c>
      <c r="AB54" s="142">
        <f t="shared" si="11"/>
        <v>22</v>
      </c>
      <c r="AC54" s="142">
        <f t="shared" si="11"/>
        <v>23</v>
      </c>
      <c r="AD54" s="142">
        <f t="shared" si="11"/>
        <v>24</v>
      </c>
      <c r="AE54" s="142">
        <f t="shared" si="11"/>
        <v>25</v>
      </c>
      <c r="AF54" s="142">
        <f t="shared" si="11"/>
        <v>26</v>
      </c>
    </row>
    <row r="55" spans="1:32" x14ac:dyDescent="0.2">
      <c r="B55" s="164" t="s">
        <v>92</v>
      </c>
      <c r="C55" s="164"/>
      <c r="D55" s="164"/>
      <c r="E55" s="164"/>
      <c r="F55" s="164"/>
      <c r="G55" s="142" t="str">
        <f>"FY "&amp;G57-1&amp;"-"&amp;RIGHT(G57,2)</f>
        <v>FY 2020-21</v>
      </c>
      <c r="H55" s="142" t="str">
        <f t="shared" ref="H55:AF55" si="12">"FY "&amp;H57-1&amp;"-"&amp;RIGHT(H57,2)</f>
        <v>FY 2021-22</v>
      </c>
      <c r="I55" s="142" t="str">
        <f t="shared" si="12"/>
        <v>FY 2022-23</v>
      </c>
      <c r="J55" s="142" t="str">
        <f t="shared" si="12"/>
        <v>FY 2023-24</v>
      </c>
      <c r="K55" s="142" t="str">
        <f t="shared" si="12"/>
        <v>FY 2024-25</v>
      </c>
      <c r="L55" s="142" t="str">
        <f t="shared" si="12"/>
        <v>FY 2025-26</v>
      </c>
      <c r="M55" s="142" t="str">
        <f t="shared" si="12"/>
        <v>FY 2026-27</v>
      </c>
      <c r="N55" s="142" t="str">
        <f t="shared" si="12"/>
        <v>FY 2027-28</v>
      </c>
      <c r="O55" s="142" t="str">
        <f t="shared" si="12"/>
        <v>FY 2028-29</v>
      </c>
      <c r="P55" s="142" t="str">
        <f t="shared" si="12"/>
        <v>FY 2029-30</v>
      </c>
      <c r="Q55" s="142" t="str">
        <f t="shared" si="12"/>
        <v>FY 2030-31</v>
      </c>
      <c r="R55" s="142" t="str">
        <f t="shared" si="12"/>
        <v>FY 2031-32</v>
      </c>
      <c r="S55" s="142" t="str">
        <f t="shared" si="12"/>
        <v>FY 2032-33</v>
      </c>
      <c r="T55" s="142" t="str">
        <f t="shared" si="12"/>
        <v>FY 2033-34</v>
      </c>
      <c r="U55" s="142" t="str">
        <f t="shared" si="12"/>
        <v>FY 2034-35</v>
      </c>
      <c r="V55" s="142" t="str">
        <f t="shared" si="12"/>
        <v>FY 2035-36</v>
      </c>
      <c r="W55" s="142" t="str">
        <f t="shared" si="12"/>
        <v>FY 2036-37</v>
      </c>
      <c r="X55" s="142" t="str">
        <f t="shared" si="12"/>
        <v>FY 2037-38</v>
      </c>
      <c r="Y55" s="142" t="str">
        <f t="shared" si="12"/>
        <v>FY 2038-39</v>
      </c>
      <c r="Z55" s="142" t="str">
        <f t="shared" si="12"/>
        <v>FY 2039-40</v>
      </c>
      <c r="AA55" s="142" t="str">
        <f t="shared" si="12"/>
        <v>FY 2040-41</v>
      </c>
      <c r="AB55" s="142" t="str">
        <f t="shared" si="12"/>
        <v>FY 2041-42</v>
      </c>
      <c r="AC55" s="142" t="str">
        <f t="shared" si="12"/>
        <v>FY 2042-43</v>
      </c>
      <c r="AD55" s="142" t="str">
        <f t="shared" si="12"/>
        <v>FY 2043-44</v>
      </c>
      <c r="AE55" s="142" t="str">
        <f t="shared" si="12"/>
        <v>FY 2044-45</v>
      </c>
      <c r="AF55" s="142" t="str">
        <f t="shared" si="12"/>
        <v>FY 2045-46</v>
      </c>
    </row>
    <row r="56" spans="1:32" x14ac:dyDescent="0.2">
      <c r="B56" s="164" t="s">
        <v>91</v>
      </c>
      <c r="C56" s="164"/>
      <c r="D56" s="164"/>
      <c r="E56" s="164"/>
      <c r="F56" s="164"/>
      <c r="G56" s="142" t="str">
        <f>G57-1&amp;"-"&amp;RIGHT(G57,2)</f>
        <v>2020-21</v>
      </c>
      <c r="H56" s="142" t="str">
        <f t="shared" ref="H56:AF56" si="13">H57-1&amp;"-"&amp;RIGHT(H57,2)</f>
        <v>2021-22</v>
      </c>
      <c r="I56" s="142" t="str">
        <f t="shared" si="13"/>
        <v>2022-23</v>
      </c>
      <c r="J56" s="142" t="str">
        <f t="shared" si="13"/>
        <v>2023-24</v>
      </c>
      <c r="K56" s="142" t="str">
        <f t="shared" si="13"/>
        <v>2024-25</v>
      </c>
      <c r="L56" s="142" t="str">
        <f t="shared" si="13"/>
        <v>2025-26</v>
      </c>
      <c r="M56" s="142" t="str">
        <f t="shared" si="13"/>
        <v>2026-27</v>
      </c>
      <c r="N56" s="142" t="str">
        <f t="shared" si="13"/>
        <v>2027-28</v>
      </c>
      <c r="O56" s="142" t="str">
        <f t="shared" si="13"/>
        <v>2028-29</v>
      </c>
      <c r="P56" s="142" t="str">
        <f t="shared" si="13"/>
        <v>2029-30</v>
      </c>
      <c r="Q56" s="142" t="str">
        <f t="shared" si="13"/>
        <v>2030-31</v>
      </c>
      <c r="R56" s="142" t="str">
        <f t="shared" si="13"/>
        <v>2031-32</v>
      </c>
      <c r="S56" s="142" t="str">
        <f t="shared" si="13"/>
        <v>2032-33</v>
      </c>
      <c r="T56" s="142" t="str">
        <f t="shared" si="13"/>
        <v>2033-34</v>
      </c>
      <c r="U56" s="142" t="str">
        <f t="shared" si="13"/>
        <v>2034-35</v>
      </c>
      <c r="V56" s="142" t="str">
        <f t="shared" si="13"/>
        <v>2035-36</v>
      </c>
      <c r="W56" s="142" t="str">
        <f t="shared" si="13"/>
        <v>2036-37</v>
      </c>
      <c r="X56" s="142" t="str">
        <f t="shared" si="13"/>
        <v>2037-38</v>
      </c>
      <c r="Y56" s="142" t="str">
        <f t="shared" si="13"/>
        <v>2038-39</v>
      </c>
      <c r="Z56" s="142" t="str">
        <f t="shared" si="13"/>
        <v>2039-40</v>
      </c>
      <c r="AA56" s="142" t="str">
        <f t="shared" si="13"/>
        <v>2040-41</v>
      </c>
      <c r="AB56" s="142" t="str">
        <f t="shared" si="13"/>
        <v>2041-42</v>
      </c>
      <c r="AC56" s="142" t="str">
        <f t="shared" si="13"/>
        <v>2042-43</v>
      </c>
      <c r="AD56" s="142" t="str">
        <f t="shared" si="13"/>
        <v>2043-44</v>
      </c>
      <c r="AE56" s="142" t="str">
        <f t="shared" si="13"/>
        <v>2044-45</v>
      </c>
      <c r="AF56" s="142" t="str">
        <f t="shared" si="13"/>
        <v>2045-46</v>
      </c>
    </row>
    <row r="57" spans="1:32" x14ac:dyDescent="0.2">
      <c r="B57" s="164" t="s">
        <v>89</v>
      </c>
      <c r="C57" s="164"/>
      <c r="D57" s="164"/>
      <c r="E57" s="164"/>
      <c r="F57" s="164"/>
      <c r="G57" s="142">
        <f>FirstYear</f>
        <v>2021</v>
      </c>
      <c r="H57" s="142">
        <f>G57+1</f>
        <v>2022</v>
      </c>
      <c r="I57" s="142">
        <f t="shared" ref="I57:AF57" si="14">H57+1</f>
        <v>2023</v>
      </c>
      <c r="J57" s="142">
        <f t="shared" si="14"/>
        <v>2024</v>
      </c>
      <c r="K57" s="142">
        <f t="shared" si="14"/>
        <v>2025</v>
      </c>
      <c r="L57" s="142">
        <f t="shared" si="14"/>
        <v>2026</v>
      </c>
      <c r="M57" s="142">
        <f t="shared" si="14"/>
        <v>2027</v>
      </c>
      <c r="N57" s="142">
        <f t="shared" si="14"/>
        <v>2028</v>
      </c>
      <c r="O57" s="142">
        <f t="shared" si="14"/>
        <v>2029</v>
      </c>
      <c r="P57" s="142">
        <f t="shared" si="14"/>
        <v>2030</v>
      </c>
      <c r="Q57" s="142">
        <f t="shared" si="14"/>
        <v>2031</v>
      </c>
      <c r="R57" s="142">
        <f t="shared" si="14"/>
        <v>2032</v>
      </c>
      <c r="S57" s="142">
        <f t="shared" si="14"/>
        <v>2033</v>
      </c>
      <c r="T57" s="142">
        <f t="shared" si="14"/>
        <v>2034</v>
      </c>
      <c r="U57" s="142">
        <f t="shared" si="14"/>
        <v>2035</v>
      </c>
      <c r="V57" s="142">
        <f t="shared" si="14"/>
        <v>2036</v>
      </c>
      <c r="W57" s="142">
        <f t="shared" si="14"/>
        <v>2037</v>
      </c>
      <c r="X57" s="142">
        <f t="shared" si="14"/>
        <v>2038</v>
      </c>
      <c r="Y57" s="142">
        <f t="shared" si="14"/>
        <v>2039</v>
      </c>
      <c r="Z57" s="142">
        <f t="shared" si="14"/>
        <v>2040</v>
      </c>
      <c r="AA57" s="142">
        <f t="shared" si="14"/>
        <v>2041</v>
      </c>
      <c r="AB57" s="142">
        <f t="shared" si="14"/>
        <v>2042</v>
      </c>
      <c r="AC57" s="142">
        <f t="shared" si="14"/>
        <v>2043</v>
      </c>
      <c r="AD57" s="142">
        <f t="shared" si="14"/>
        <v>2044</v>
      </c>
      <c r="AE57" s="142">
        <f t="shared" si="14"/>
        <v>2045</v>
      </c>
      <c r="AF57" s="142">
        <f t="shared" si="14"/>
        <v>2046</v>
      </c>
    </row>
    <row r="58" spans="1:32" x14ac:dyDescent="0.2">
      <c r="B58" s="161"/>
      <c r="C58" s="165"/>
      <c r="D58" s="165"/>
      <c r="E58" s="161"/>
      <c r="F58" s="161"/>
    </row>
    <row r="59" spans="1:32" ht="15.75" x14ac:dyDescent="0.25">
      <c r="B59" s="166" t="s">
        <v>101</v>
      </c>
      <c r="C59" s="167"/>
      <c r="D59" s="167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</row>
    <row r="60" spans="1:32" ht="15.75" x14ac:dyDescent="0.25">
      <c r="B60" s="168" t="s">
        <v>14</v>
      </c>
      <c r="C60" s="169" t="s">
        <v>13</v>
      </c>
      <c r="D60" s="169"/>
      <c r="E60" s="170" t="str">
        <f t="shared" ref="E60" si="15">E$13</f>
        <v>Units</v>
      </c>
      <c r="F60" s="170" t="s">
        <v>37</v>
      </c>
      <c r="G60" s="171" t="str">
        <f>G$55</f>
        <v>FY 2020-21</v>
      </c>
      <c r="H60" s="171" t="str">
        <f t="shared" ref="H60:AF60" si="16">H$55</f>
        <v>FY 2021-22</v>
      </c>
      <c r="I60" s="171" t="str">
        <f t="shared" si="16"/>
        <v>FY 2022-23</v>
      </c>
      <c r="J60" s="171" t="str">
        <f t="shared" si="16"/>
        <v>FY 2023-24</v>
      </c>
      <c r="K60" s="171" t="str">
        <f t="shared" si="16"/>
        <v>FY 2024-25</v>
      </c>
      <c r="L60" s="171" t="str">
        <f t="shared" si="16"/>
        <v>FY 2025-26</v>
      </c>
      <c r="M60" s="171" t="str">
        <f t="shared" si="16"/>
        <v>FY 2026-27</v>
      </c>
      <c r="N60" s="171" t="str">
        <f t="shared" si="16"/>
        <v>FY 2027-28</v>
      </c>
      <c r="O60" s="171" t="str">
        <f t="shared" si="16"/>
        <v>FY 2028-29</v>
      </c>
      <c r="P60" s="171" t="str">
        <f t="shared" si="16"/>
        <v>FY 2029-30</v>
      </c>
      <c r="Q60" s="171" t="str">
        <f t="shared" si="16"/>
        <v>FY 2030-31</v>
      </c>
      <c r="R60" s="171" t="str">
        <f t="shared" si="16"/>
        <v>FY 2031-32</v>
      </c>
      <c r="S60" s="171" t="str">
        <f t="shared" si="16"/>
        <v>FY 2032-33</v>
      </c>
      <c r="T60" s="171" t="str">
        <f t="shared" si="16"/>
        <v>FY 2033-34</v>
      </c>
      <c r="U60" s="171" t="str">
        <f t="shared" si="16"/>
        <v>FY 2034-35</v>
      </c>
      <c r="V60" s="171" t="str">
        <f t="shared" si="16"/>
        <v>FY 2035-36</v>
      </c>
      <c r="W60" s="171" t="str">
        <f t="shared" si="16"/>
        <v>FY 2036-37</v>
      </c>
      <c r="X60" s="171" t="str">
        <f t="shared" si="16"/>
        <v>FY 2037-38</v>
      </c>
      <c r="Y60" s="171" t="str">
        <f t="shared" si="16"/>
        <v>FY 2038-39</v>
      </c>
      <c r="Z60" s="171" t="str">
        <f t="shared" si="16"/>
        <v>FY 2039-40</v>
      </c>
      <c r="AA60" s="171" t="str">
        <f t="shared" si="16"/>
        <v>FY 2040-41</v>
      </c>
      <c r="AB60" s="171" t="str">
        <f t="shared" si="16"/>
        <v>FY 2041-42</v>
      </c>
      <c r="AC60" s="171" t="str">
        <f t="shared" si="16"/>
        <v>FY 2042-43</v>
      </c>
      <c r="AD60" s="171" t="str">
        <f t="shared" si="16"/>
        <v>FY 2043-44</v>
      </c>
      <c r="AE60" s="171" t="str">
        <f t="shared" si="16"/>
        <v>FY 2044-45</v>
      </c>
      <c r="AF60" s="171" t="str">
        <f t="shared" si="16"/>
        <v>FY 2045-46</v>
      </c>
    </row>
    <row r="61" spans="1:32" x14ac:dyDescent="0.2">
      <c r="A61" s="149">
        <f>(F61+F74)/1000000</f>
        <v>-167.20313355098668</v>
      </c>
      <c r="B61" s="172">
        <f>+'Option inputs'!$B$15</f>
        <v>1</v>
      </c>
      <c r="C61" s="13" t="str">
        <f>+'Option inputs'!$C$15</f>
        <v>Option 1A</v>
      </c>
      <c r="D61" s="164"/>
      <c r="E61" s="173" t="s">
        <v>35</v>
      </c>
      <c r="F61" s="17">
        <f>Central!F58*'Weighted 2'!$F$8+Step!F58*'Weighted 2'!$G$8+Slow!F58*'Weighted 2'!$H$8</f>
        <v>-146824864.83058929</v>
      </c>
      <c r="G61" s="16">
        <f>Central!G58*'Weighted 2'!$F$8+Step!G58*'Weighted 2'!$G$8+Slow!G58*'Weighted 2'!$H$8</f>
        <v>0</v>
      </c>
      <c r="H61" s="16">
        <f>Central!H58*'Weighted 2'!$F$8+Step!H58*'Weighted 2'!$G$8+Slow!H58*'Weighted 2'!$H$8</f>
        <v>-52750000</v>
      </c>
      <c r="I61" s="16">
        <f>Central!I58*'Weighted 2'!$F$8+Step!I58*'Weighted 2'!$G$8+Slow!I58*'Weighted 2'!$H$8</f>
        <v>-52750000</v>
      </c>
      <c r="J61" s="16">
        <f>Central!J58*'Weighted 2'!$F$8+Step!J58*'Weighted 2'!$G$8+Slow!J58*'Weighted 2'!$H$8</f>
        <v>-52750000</v>
      </c>
      <c r="K61" s="16">
        <f>Central!K58*'Weighted 2'!$F$8+Step!K58*'Weighted 2'!$G$8+Slow!K58*'Weighted 2'!$H$8</f>
        <v>-52750000</v>
      </c>
      <c r="L61" s="16">
        <f>Central!L58*'Weighted 2'!$F$8+Step!L58*'Weighted 2'!$G$8+Slow!L58*'Weighted 2'!$H$8</f>
        <v>0</v>
      </c>
      <c r="M61" s="16">
        <f>Central!M58*'Weighted 2'!$F$8+Step!M58*'Weighted 2'!$G$8+Slow!M58*'Weighted 2'!$H$8</f>
        <v>0</v>
      </c>
      <c r="N61" s="16">
        <f>Central!N58*'Weighted 2'!$F$8+Step!N58*'Weighted 2'!$G$8+Slow!N58*'Weighted 2'!$H$8</f>
        <v>0</v>
      </c>
      <c r="O61" s="16">
        <f>Central!O58*'Weighted 2'!$F$8+Step!O58*'Weighted 2'!$G$8+Slow!O58*'Weighted 2'!$H$8</f>
        <v>0</v>
      </c>
      <c r="P61" s="16">
        <f>Central!P58*'Weighted 2'!$F$8+Step!P58*'Weighted 2'!$G$8+Slow!P58*'Weighted 2'!$H$8</f>
        <v>0</v>
      </c>
      <c r="Q61" s="16">
        <f>Central!Q58*'Weighted 2'!$F$8+Step!Q58*'Weighted 2'!$G$8+Slow!Q58*'Weighted 2'!$H$8</f>
        <v>0</v>
      </c>
      <c r="R61" s="16">
        <f>Central!R58*'Weighted 2'!$F$8+Step!R58*'Weighted 2'!$G$8+Slow!R58*'Weighted 2'!$H$8</f>
        <v>0</v>
      </c>
      <c r="S61" s="16">
        <f>Central!S58*'Weighted 2'!$F$8+Step!S58*'Weighted 2'!$G$8+Slow!S58*'Weighted 2'!$H$8</f>
        <v>0</v>
      </c>
      <c r="T61" s="16">
        <f>Central!T58*'Weighted 2'!$F$8+Step!T58*'Weighted 2'!$G$8+Slow!T58*'Weighted 2'!$H$8</f>
        <v>0</v>
      </c>
      <c r="U61" s="16">
        <f>Central!U58*'Weighted 2'!$F$8+Step!U58*'Weighted 2'!$G$8+Slow!U58*'Weighted 2'!$H$8</f>
        <v>0</v>
      </c>
      <c r="V61" s="16">
        <f>Central!V58*'Weighted 2'!$F$8+Step!V58*'Weighted 2'!$G$8+Slow!V58*'Weighted 2'!$H$8</f>
        <v>0</v>
      </c>
      <c r="W61" s="16">
        <f>Central!W58*'Weighted 2'!$F$8+Step!W58*'Weighted 2'!$G$8+Slow!W58*'Weighted 2'!$H$8</f>
        <v>0</v>
      </c>
      <c r="X61" s="16">
        <f>Central!X58*'Weighted 2'!$F$8+Step!X58*'Weighted 2'!$G$8+Slow!X58*'Weighted 2'!$H$8</f>
        <v>0</v>
      </c>
      <c r="Y61" s="16">
        <f>Central!Y58*'Weighted 2'!$F$8+Step!Y58*'Weighted 2'!$G$8+Slow!Y58*'Weighted 2'!$H$8</f>
        <v>0</v>
      </c>
      <c r="Z61" s="16">
        <f>Central!Z58*'Weighted 2'!$F$8+Step!Z58*'Weighted 2'!$G$8+Slow!Z58*'Weighted 2'!$H$8</f>
        <v>0</v>
      </c>
      <c r="AA61" s="16">
        <f>Central!AA58*'Weighted 2'!$F$8+Step!AA58*'Weighted 2'!$G$8+Slow!AA58*'Weighted 2'!$H$8</f>
        <v>0</v>
      </c>
      <c r="AB61" s="16">
        <f>Central!AB58*'Weighted 2'!$F$8+Step!AB58*'Weighted 2'!$G$8+Slow!AB58*'Weighted 2'!$H$8</f>
        <v>0</v>
      </c>
      <c r="AC61" s="16">
        <f>Central!AC58*'Weighted 2'!$F$8+Step!AC58*'Weighted 2'!$G$8+Slow!AC58*'Weighted 2'!$H$8</f>
        <v>0</v>
      </c>
      <c r="AD61" s="16">
        <f>Central!AD58*'Weighted 2'!$F$8+Step!AD58*'Weighted 2'!$G$8+Slow!AD58*'Weighted 2'!$H$8</f>
        <v>0</v>
      </c>
      <c r="AE61" s="16">
        <f>Central!AE58*'Weighted 2'!$F$8+Step!AE58*'Weighted 2'!$G$8+Slow!AE58*'Weighted 2'!$H$8</f>
        <v>0</v>
      </c>
      <c r="AF61" s="16">
        <f>Central!AF58*'Weighted 2'!$F$8+Step!AF58*'Weighted 2'!$G$8+Slow!AF58*'Weighted 2'!$H$8</f>
        <v>116180000</v>
      </c>
    </row>
    <row r="62" spans="1:32" x14ac:dyDescent="0.2">
      <c r="A62" s="149">
        <f>(F62+F75)/1000000</f>
        <v>-239.98672860139916</v>
      </c>
      <c r="B62" s="172">
        <f>+'Option inputs'!$B$16</f>
        <v>2</v>
      </c>
      <c r="C62" s="13" t="str">
        <f>+'Option inputs'!$C$16</f>
        <v>Option 1B</v>
      </c>
      <c r="D62" s="164"/>
      <c r="E62" s="173" t="s">
        <v>35</v>
      </c>
      <c r="F62" s="17">
        <f>Central!F59*'Weighted 2'!$F$8+Step!F59*'Weighted 2'!$G$8+Slow!F59*'Weighted 2'!$H$8</f>
        <v>-210723148.40101808</v>
      </c>
      <c r="G62" s="16">
        <f>Central!G59*'Weighted 2'!$F$8+Step!G59*'Weighted 2'!$G$8+Slow!G59*'Weighted 2'!$H$8</f>
        <v>0</v>
      </c>
      <c r="H62" s="16">
        <f>Central!H59*'Weighted 2'!$F$8+Step!H59*'Weighted 2'!$G$8+Slow!H59*'Weighted 2'!$H$8</f>
        <v>-75750000</v>
      </c>
      <c r="I62" s="16">
        <f>Central!I59*'Weighted 2'!$F$8+Step!I59*'Weighted 2'!$G$8+Slow!I59*'Weighted 2'!$H$8</f>
        <v>-75750000</v>
      </c>
      <c r="J62" s="16">
        <f>Central!J59*'Weighted 2'!$F$8+Step!J59*'Weighted 2'!$G$8+Slow!J59*'Weighted 2'!$H$8</f>
        <v>-75750000</v>
      </c>
      <c r="K62" s="16">
        <f>Central!K59*'Weighted 2'!$F$8+Step!K59*'Weighted 2'!$G$8+Slow!K59*'Weighted 2'!$H$8</f>
        <v>-75750000</v>
      </c>
      <c r="L62" s="16">
        <f>Central!L59*'Weighted 2'!$F$8+Step!L59*'Weighted 2'!$G$8+Slow!L59*'Weighted 2'!$H$8</f>
        <v>0</v>
      </c>
      <c r="M62" s="16">
        <f>Central!M59*'Weighted 2'!$F$8+Step!M59*'Weighted 2'!$G$8+Slow!M59*'Weighted 2'!$H$8</f>
        <v>0</v>
      </c>
      <c r="N62" s="16">
        <f>Central!N59*'Weighted 2'!$F$8+Step!N59*'Weighted 2'!$G$8+Slow!N59*'Weighted 2'!$H$8</f>
        <v>0</v>
      </c>
      <c r="O62" s="16">
        <f>Central!O59*'Weighted 2'!$F$8+Step!O59*'Weighted 2'!$G$8+Slow!O59*'Weighted 2'!$H$8</f>
        <v>0</v>
      </c>
      <c r="P62" s="16">
        <f>Central!P59*'Weighted 2'!$F$8+Step!P59*'Weighted 2'!$G$8+Slow!P59*'Weighted 2'!$H$8</f>
        <v>0</v>
      </c>
      <c r="Q62" s="16">
        <f>Central!Q59*'Weighted 2'!$F$8+Step!Q59*'Weighted 2'!$G$8+Slow!Q59*'Weighted 2'!$H$8</f>
        <v>0</v>
      </c>
      <c r="R62" s="16">
        <f>Central!R59*'Weighted 2'!$F$8+Step!R59*'Weighted 2'!$G$8+Slow!R59*'Weighted 2'!$H$8</f>
        <v>0</v>
      </c>
      <c r="S62" s="16">
        <f>Central!S59*'Weighted 2'!$F$8+Step!S59*'Weighted 2'!$G$8+Slow!S59*'Weighted 2'!$H$8</f>
        <v>0</v>
      </c>
      <c r="T62" s="16">
        <f>Central!T59*'Weighted 2'!$F$8+Step!T59*'Weighted 2'!$G$8+Slow!T59*'Weighted 2'!$H$8</f>
        <v>0</v>
      </c>
      <c r="U62" s="16">
        <f>Central!U59*'Weighted 2'!$F$8+Step!U59*'Weighted 2'!$G$8+Slow!U59*'Weighted 2'!$H$8</f>
        <v>0</v>
      </c>
      <c r="V62" s="16">
        <f>Central!V59*'Weighted 2'!$F$8+Step!V59*'Weighted 2'!$G$8+Slow!V59*'Weighted 2'!$H$8</f>
        <v>0</v>
      </c>
      <c r="W62" s="16">
        <f>Central!W59*'Weighted 2'!$F$8+Step!W59*'Weighted 2'!$G$8+Slow!W59*'Weighted 2'!$H$8</f>
        <v>0</v>
      </c>
      <c r="X62" s="16">
        <f>Central!X59*'Weighted 2'!$F$8+Step!X59*'Weighted 2'!$G$8+Slow!X59*'Weighted 2'!$H$8</f>
        <v>0</v>
      </c>
      <c r="Y62" s="16">
        <f>Central!Y59*'Weighted 2'!$F$8+Step!Y59*'Weighted 2'!$G$8+Slow!Y59*'Weighted 2'!$H$8</f>
        <v>0</v>
      </c>
      <c r="Z62" s="16">
        <f>Central!Z59*'Weighted 2'!$F$8+Step!Z59*'Weighted 2'!$G$8+Slow!Z59*'Weighted 2'!$H$8</f>
        <v>0</v>
      </c>
      <c r="AA62" s="16">
        <f>Central!AA59*'Weighted 2'!$F$8+Step!AA59*'Weighted 2'!$G$8+Slow!AA59*'Weighted 2'!$H$8</f>
        <v>0</v>
      </c>
      <c r="AB62" s="16">
        <f>Central!AB59*'Weighted 2'!$F$8+Step!AB59*'Weighted 2'!$G$8+Slow!AB59*'Weighted 2'!$H$8</f>
        <v>0</v>
      </c>
      <c r="AC62" s="16">
        <f>Central!AC59*'Weighted 2'!$F$8+Step!AC59*'Weighted 2'!$G$8+Slow!AC59*'Weighted 2'!$H$8</f>
        <v>0</v>
      </c>
      <c r="AD62" s="16">
        <f>Central!AD59*'Weighted 2'!$F$8+Step!AD59*'Weighted 2'!$G$8+Slow!AD59*'Weighted 2'!$H$8</f>
        <v>0</v>
      </c>
      <c r="AE62" s="16">
        <f>Central!AE59*'Weighted 2'!$F$8+Step!AE59*'Weighted 2'!$G$8+Slow!AE59*'Weighted 2'!$H$8</f>
        <v>0</v>
      </c>
      <c r="AF62" s="16">
        <f>Central!AF59*'Weighted 2'!$F$8+Step!AF59*'Weighted 2'!$G$8+Slow!AF59*'Weighted 2'!$H$8</f>
        <v>167370000</v>
      </c>
    </row>
    <row r="63" spans="1:32" x14ac:dyDescent="0.2">
      <c r="A63" s="149">
        <f>(F63+F76)/1000000</f>
        <v>-311.16490786338295</v>
      </c>
      <c r="B63" s="172">
        <f>+'Option inputs'!$B$17</f>
        <v>3</v>
      </c>
      <c r="C63" s="13" t="str">
        <f>+'Option inputs'!$C$17</f>
        <v>Option 2</v>
      </c>
      <c r="D63" s="164"/>
      <c r="E63" s="173" t="s">
        <v>35</v>
      </c>
      <c r="F63" s="17">
        <f>Central!F60*'Weighted 2'!$F$8+Step!F60*'Weighted 2'!$G$8+Slow!F60*'Weighted 2'!$H$8</f>
        <v>-273209175.12823516</v>
      </c>
      <c r="G63" s="16">
        <f>Central!G60*'Weighted 2'!$F$8+Step!G60*'Weighted 2'!$G$8+Slow!G60*'Weighted 2'!$H$8</f>
        <v>0</v>
      </c>
      <c r="H63" s="16">
        <f>Central!H60*'Weighted 2'!$F$8+Step!H60*'Weighted 2'!$G$8+Slow!H60*'Weighted 2'!$H$8</f>
        <v>-98250000</v>
      </c>
      <c r="I63" s="16">
        <f>Central!I60*'Weighted 2'!$F$8+Step!I60*'Weighted 2'!$G$8+Slow!I60*'Weighted 2'!$H$8</f>
        <v>-98250000</v>
      </c>
      <c r="J63" s="16">
        <f>Central!J60*'Weighted 2'!$F$8+Step!J60*'Weighted 2'!$G$8+Slow!J60*'Weighted 2'!$H$8</f>
        <v>-98250000</v>
      </c>
      <c r="K63" s="16">
        <f>Central!K60*'Weighted 2'!$F$8+Step!K60*'Weighted 2'!$G$8+Slow!K60*'Weighted 2'!$H$8</f>
        <v>-98250000</v>
      </c>
      <c r="L63" s="16">
        <f>Central!L60*'Weighted 2'!$F$8+Step!L60*'Weighted 2'!$G$8+Slow!L60*'Weighted 2'!$H$8</f>
        <v>0</v>
      </c>
      <c r="M63" s="16">
        <f>Central!M60*'Weighted 2'!$F$8+Step!M60*'Weighted 2'!$G$8+Slow!M60*'Weighted 2'!$H$8</f>
        <v>0</v>
      </c>
      <c r="N63" s="16">
        <f>Central!N60*'Weighted 2'!$F$8+Step!N60*'Weighted 2'!$G$8+Slow!N60*'Weighted 2'!$H$8</f>
        <v>0</v>
      </c>
      <c r="O63" s="16">
        <f>Central!O60*'Weighted 2'!$F$8+Step!O60*'Weighted 2'!$G$8+Slow!O60*'Weighted 2'!$H$8</f>
        <v>0</v>
      </c>
      <c r="P63" s="16">
        <f>Central!P60*'Weighted 2'!$F$8+Step!P60*'Weighted 2'!$G$8+Slow!P60*'Weighted 2'!$H$8</f>
        <v>0</v>
      </c>
      <c r="Q63" s="16">
        <f>Central!Q60*'Weighted 2'!$F$8+Step!Q60*'Weighted 2'!$G$8+Slow!Q60*'Weighted 2'!$H$8</f>
        <v>0</v>
      </c>
      <c r="R63" s="16">
        <f>Central!R60*'Weighted 2'!$F$8+Step!R60*'Weighted 2'!$G$8+Slow!R60*'Weighted 2'!$H$8</f>
        <v>0</v>
      </c>
      <c r="S63" s="16">
        <f>Central!S60*'Weighted 2'!$F$8+Step!S60*'Weighted 2'!$G$8+Slow!S60*'Weighted 2'!$H$8</f>
        <v>0</v>
      </c>
      <c r="T63" s="16">
        <f>Central!T60*'Weighted 2'!$F$8+Step!T60*'Weighted 2'!$G$8+Slow!T60*'Weighted 2'!$H$8</f>
        <v>0</v>
      </c>
      <c r="U63" s="16">
        <f>Central!U60*'Weighted 2'!$F$8+Step!U60*'Weighted 2'!$G$8+Slow!U60*'Weighted 2'!$H$8</f>
        <v>0</v>
      </c>
      <c r="V63" s="16">
        <f>Central!V60*'Weighted 2'!$F$8+Step!V60*'Weighted 2'!$G$8+Slow!V60*'Weighted 2'!$H$8</f>
        <v>0</v>
      </c>
      <c r="W63" s="16">
        <f>Central!W60*'Weighted 2'!$F$8+Step!W60*'Weighted 2'!$G$8+Slow!W60*'Weighted 2'!$H$8</f>
        <v>0</v>
      </c>
      <c r="X63" s="16">
        <f>Central!X60*'Weighted 2'!$F$8+Step!X60*'Weighted 2'!$G$8+Slow!X60*'Weighted 2'!$H$8</f>
        <v>0</v>
      </c>
      <c r="Y63" s="16">
        <f>Central!Y60*'Weighted 2'!$F$8+Step!Y60*'Weighted 2'!$G$8+Slow!Y60*'Weighted 2'!$H$8</f>
        <v>0</v>
      </c>
      <c r="Z63" s="16">
        <f>Central!Z60*'Weighted 2'!$F$8+Step!Z60*'Weighted 2'!$G$8+Slow!Z60*'Weighted 2'!$H$8</f>
        <v>0</v>
      </c>
      <c r="AA63" s="16">
        <f>Central!AA60*'Weighted 2'!$F$8+Step!AA60*'Weighted 2'!$G$8+Slow!AA60*'Weighted 2'!$H$8</f>
        <v>0</v>
      </c>
      <c r="AB63" s="16">
        <f>Central!AB60*'Weighted 2'!$F$8+Step!AB60*'Weighted 2'!$G$8+Slow!AB60*'Weighted 2'!$H$8</f>
        <v>0</v>
      </c>
      <c r="AC63" s="16">
        <f>Central!AC60*'Weighted 2'!$F$8+Step!AC60*'Weighted 2'!$G$8+Slow!AC60*'Weighted 2'!$H$8</f>
        <v>0</v>
      </c>
      <c r="AD63" s="16">
        <f>Central!AD60*'Weighted 2'!$F$8+Step!AD60*'Weighted 2'!$G$8+Slow!AD60*'Weighted 2'!$H$8</f>
        <v>0</v>
      </c>
      <c r="AE63" s="16">
        <f>Central!AE60*'Weighted 2'!$F$8+Step!AE60*'Weighted 2'!$G$8+Slow!AE60*'Weighted 2'!$H$8</f>
        <v>0</v>
      </c>
      <c r="AF63" s="16">
        <f>Central!AF60*'Weighted 2'!$F$8+Step!AF60*'Weighted 2'!$G$8+Slow!AF60*'Weighted 2'!$H$8</f>
        <v>217550000</v>
      </c>
    </row>
    <row r="64" spans="1:32" x14ac:dyDescent="0.2">
      <c r="A64" s="149">
        <f>(F64+F77)/1000000</f>
        <v>-42.58564370145703</v>
      </c>
      <c r="B64" s="172">
        <f>+'Option inputs'!$B$18</f>
        <v>4</v>
      </c>
      <c r="C64" s="13" t="str">
        <f>+'Option inputs'!$C$18</f>
        <v>Option 3</v>
      </c>
      <c r="D64" s="164"/>
      <c r="E64" s="173" t="s">
        <v>35</v>
      </c>
      <c r="F64" s="17">
        <f>Central!F61*'Weighted 2'!$F$8+Step!F61*'Weighted 2'!$G$8+Slow!F61*'Weighted 2'!$H$8</f>
        <v>-37359125.191602096</v>
      </c>
      <c r="G64" s="16">
        <f>Central!G61*'Weighted 2'!$F$8+Step!G61*'Weighted 2'!$G$8+Slow!G61*'Weighted 2'!$H$8</f>
        <v>0</v>
      </c>
      <c r="H64" s="16">
        <f>Central!H61*'Weighted 2'!$F$8+Step!H61*'Weighted 2'!$G$8+Slow!H61*'Weighted 2'!$H$8</f>
        <v>-16666666.666666666</v>
      </c>
      <c r="I64" s="16">
        <f>Central!I61*'Weighted 2'!$F$8+Step!I61*'Weighted 2'!$G$8+Slow!I61*'Weighted 2'!$H$8</f>
        <v>-16666666.666666666</v>
      </c>
      <c r="J64" s="16">
        <f>Central!J61*'Weighted 2'!$F$8+Step!J61*'Weighted 2'!$G$8+Slow!J61*'Weighted 2'!$H$8</f>
        <v>-16666666.666666666</v>
      </c>
      <c r="K64" s="16">
        <f>Central!K61*'Weighted 2'!$F$8+Step!K61*'Weighted 2'!$G$8+Slow!K61*'Weighted 2'!$H$8</f>
        <v>0</v>
      </c>
      <c r="L64" s="16">
        <f>Central!L61*'Weighted 2'!$F$8+Step!L61*'Weighted 2'!$G$8+Slow!L61*'Weighted 2'!$H$8</f>
        <v>0</v>
      </c>
      <c r="M64" s="16">
        <f>Central!M61*'Weighted 2'!$F$8+Step!M61*'Weighted 2'!$G$8+Slow!M61*'Weighted 2'!$H$8</f>
        <v>0</v>
      </c>
      <c r="N64" s="16">
        <f>Central!N61*'Weighted 2'!$F$8+Step!N61*'Weighted 2'!$G$8+Slow!N61*'Weighted 2'!$H$8</f>
        <v>0</v>
      </c>
      <c r="O64" s="16">
        <f>Central!O61*'Weighted 2'!$F$8+Step!O61*'Weighted 2'!$G$8+Slow!O61*'Weighted 2'!$H$8</f>
        <v>0</v>
      </c>
      <c r="P64" s="16">
        <f>Central!P61*'Weighted 2'!$F$8+Step!P61*'Weighted 2'!$G$8+Slow!P61*'Weighted 2'!$H$8</f>
        <v>0</v>
      </c>
      <c r="Q64" s="16">
        <f>Central!Q61*'Weighted 2'!$F$8+Step!Q61*'Weighted 2'!$G$8+Slow!Q61*'Weighted 2'!$H$8</f>
        <v>0</v>
      </c>
      <c r="R64" s="16">
        <f>Central!R61*'Weighted 2'!$F$8+Step!R61*'Weighted 2'!$G$8+Slow!R61*'Weighted 2'!$H$8</f>
        <v>0</v>
      </c>
      <c r="S64" s="16">
        <f>Central!S61*'Weighted 2'!$F$8+Step!S61*'Weighted 2'!$G$8+Slow!S61*'Weighted 2'!$H$8</f>
        <v>0</v>
      </c>
      <c r="T64" s="16">
        <f>Central!T61*'Weighted 2'!$F$8+Step!T61*'Weighted 2'!$G$8+Slow!T61*'Weighted 2'!$H$8</f>
        <v>0</v>
      </c>
      <c r="U64" s="16">
        <f>Central!U61*'Weighted 2'!$F$8+Step!U61*'Weighted 2'!$G$8+Slow!U61*'Weighted 2'!$H$8</f>
        <v>0</v>
      </c>
      <c r="V64" s="16">
        <f>Central!V61*'Weighted 2'!$F$8+Step!V61*'Weighted 2'!$G$8+Slow!V61*'Weighted 2'!$H$8</f>
        <v>0</v>
      </c>
      <c r="W64" s="16">
        <f>Central!W61*'Weighted 2'!$F$8+Step!W61*'Weighted 2'!$G$8+Slow!W61*'Weighted 2'!$H$8</f>
        <v>0</v>
      </c>
      <c r="X64" s="16">
        <f>Central!X61*'Weighted 2'!$F$8+Step!X61*'Weighted 2'!$G$8+Slow!X61*'Weighted 2'!$H$8</f>
        <v>0</v>
      </c>
      <c r="Y64" s="16">
        <f>Central!Y61*'Weighted 2'!$F$8+Step!Y61*'Weighted 2'!$G$8+Slow!Y61*'Weighted 2'!$H$8</f>
        <v>0</v>
      </c>
      <c r="Z64" s="16">
        <f>Central!Z61*'Weighted 2'!$F$8+Step!Z61*'Weighted 2'!$G$8+Slow!Z61*'Weighted 2'!$H$8</f>
        <v>0</v>
      </c>
      <c r="AA64" s="16">
        <f>Central!AA61*'Weighted 2'!$F$8+Step!AA61*'Weighted 2'!$G$8+Slow!AA61*'Weighted 2'!$H$8</f>
        <v>0</v>
      </c>
      <c r="AB64" s="16">
        <f>Central!AB61*'Weighted 2'!$F$8+Step!AB61*'Weighted 2'!$G$8+Slow!AB61*'Weighted 2'!$H$8</f>
        <v>0</v>
      </c>
      <c r="AC64" s="16">
        <f>Central!AC61*'Weighted 2'!$F$8+Step!AC61*'Weighted 2'!$G$8+Slow!AC61*'Weighted 2'!$H$8</f>
        <v>0</v>
      </c>
      <c r="AD64" s="16">
        <f>Central!AD61*'Weighted 2'!$F$8+Step!AD61*'Weighted 2'!$G$8+Slow!AD61*'Weighted 2'!$H$8</f>
        <v>0</v>
      </c>
      <c r="AE64" s="16">
        <f>Central!AE61*'Weighted 2'!$F$8+Step!AE61*'Weighted 2'!$G$8+Slow!AE61*'Weighted 2'!$H$8</f>
        <v>0</v>
      </c>
      <c r="AF64" s="16">
        <f>Central!AF61*'Weighted 2'!$F$8+Step!AF61*'Weighted 2'!$G$8+Slow!AF61*'Weighted 2'!$H$8</f>
        <v>21250000</v>
      </c>
    </row>
    <row r="65" spans="1:32" x14ac:dyDescent="0.2">
      <c r="A65" s="149">
        <f>(F65+F78)/1000000</f>
        <v>0</v>
      </c>
      <c r="B65" s="172">
        <f>+'Option inputs'!$B$19</f>
        <v>5</v>
      </c>
      <c r="C65" s="13" t="str">
        <f>+'Option inputs'!$C$19</f>
        <v>Option 4</v>
      </c>
      <c r="D65" s="164"/>
      <c r="E65" s="173" t="s">
        <v>35</v>
      </c>
      <c r="F65" s="17">
        <f>Central!F62*'Weighted 2'!$F$8+Step!F62*'Weighted 2'!$G$8+Slow!F62*'Weighted 2'!$H$8</f>
        <v>0</v>
      </c>
      <c r="G65" s="16" t="e">
        <f>Central!G62*'Weighted 2'!$F$8+Step!G62*'Weighted 2'!$G$8+Slow!G62*'Weighted 2'!$H$8</f>
        <v>#VALUE!</v>
      </c>
      <c r="H65" s="16">
        <f>Central!H62*'Weighted 2'!$F$8+Step!H62*'Weighted 2'!$G$8+Slow!H62*'Weighted 2'!$H$8</f>
        <v>0</v>
      </c>
      <c r="I65" s="16">
        <f>Central!I62*'Weighted 2'!$F$8+Step!I62*'Weighted 2'!$G$8+Slow!I62*'Weighted 2'!$H$8</f>
        <v>0</v>
      </c>
      <c r="J65" s="16">
        <f>Central!J62*'Weighted 2'!$F$8+Step!J62*'Weighted 2'!$G$8+Slow!J62*'Weighted 2'!$H$8</f>
        <v>0</v>
      </c>
      <c r="K65" s="16">
        <f>Central!K62*'Weighted 2'!$F$8+Step!K62*'Weighted 2'!$G$8+Slow!K62*'Weighted 2'!$H$8</f>
        <v>0</v>
      </c>
      <c r="L65" s="16">
        <f>Central!L62*'Weighted 2'!$F$8+Step!L62*'Weighted 2'!$G$8+Slow!L62*'Weighted 2'!$H$8</f>
        <v>0</v>
      </c>
      <c r="M65" s="16">
        <f>Central!M62*'Weighted 2'!$F$8+Step!M62*'Weighted 2'!$G$8+Slow!M62*'Weighted 2'!$H$8</f>
        <v>0</v>
      </c>
      <c r="N65" s="16">
        <f>Central!N62*'Weighted 2'!$F$8+Step!N62*'Weighted 2'!$G$8+Slow!N62*'Weighted 2'!$H$8</f>
        <v>0</v>
      </c>
      <c r="O65" s="16">
        <f>Central!O62*'Weighted 2'!$F$8+Step!O62*'Weighted 2'!$G$8+Slow!O62*'Weighted 2'!$H$8</f>
        <v>0</v>
      </c>
      <c r="P65" s="16">
        <f>Central!P62*'Weighted 2'!$F$8+Step!P62*'Weighted 2'!$G$8+Slow!P62*'Weighted 2'!$H$8</f>
        <v>0</v>
      </c>
      <c r="Q65" s="16">
        <f>Central!Q62*'Weighted 2'!$F$8+Step!Q62*'Weighted 2'!$G$8+Slow!Q62*'Weighted 2'!$H$8</f>
        <v>0</v>
      </c>
      <c r="R65" s="16">
        <f>Central!R62*'Weighted 2'!$F$8+Step!R62*'Weighted 2'!$G$8+Slow!R62*'Weighted 2'!$H$8</f>
        <v>0</v>
      </c>
      <c r="S65" s="16">
        <f>Central!S62*'Weighted 2'!$F$8+Step!S62*'Weighted 2'!$G$8+Slow!S62*'Weighted 2'!$H$8</f>
        <v>0</v>
      </c>
      <c r="T65" s="16">
        <f>Central!T62*'Weighted 2'!$F$8+Step!T62*'Weighted 2'!$G$8+Slow!T62*'Weighted 2'!$H$8</f>
        <v>0</v>
      </c>
      <c r="U65" s="16">
        <f>Central!U62*'Weighted 2'!$F$8+Step!U62*'Weighted 2'!$G$8+Slow!U62*'Weighted 2'!$H$8</f>
        <v>0</v>
      </c>
      <c r="V65" s="16">
        <f>Central!V62*'Weighted 2'!$F$8+Step!V62*'Weighted 2'!$G$8+Slow!V62*'Weighted 2'!$H$8</f>
        <v>0</v>
      </c>
      <c r="W65" s="16">
        <f>Central!W62*'Weighted 2'!$F$8+Step!W62*'Weighted 2'!$G$8+Slow!W62*'Weighted 2'!$H$8</f>
        <v>0</v>
      </c>
      <c r="X65" s="16">
        <f>Central!X62*'Weighted 2'!$F$8+Step!X62*'Weighted 2'!$G$8+Slow!X62*'Weighted 2'!$H$8</f>
        <v>0</v>
      </c>
      <c r="Y65" s="16">
        <f>Central!Y62*'Weighted 2'!$F$8+Step!Y62*'Weighted 2'!$G$8+Slow!Y62*'Weighted 2'!$H$8</f>
        <v>0</v>
      </c>
      <c r="Z65" s="16">
        <f>Central!Z62*'Weighted 2'!$F$8+Step!Z62*'Weighted 2'!$G$8+Slow!Z62*'Weighted 2'!$H$8</f>
        <v>0</v>
      </c>
      <c r="AA65" s="16">
        <f>Central!AA62*'Weighted 2'!$F$8+Step!AA62*'Weighted 2'!$G$8+Slow!AA62*'Weighted 2'!$H$8</f>
        <v>0</v>
      </c>
      <c r="AB65" s="16">
        <f>Central!AB62*'Weighted 2'!$F$8+Step!AB62*'Weighted 2'!$G$8+Slow!AB62*'Weighted 2'!$H$8</f>
        <v>0</v>
      </c>
      <c r="AC65" s="16">
        <f>Central!AC62*'Weighted 2'!$F$8+Step!AC62*'Weighted 2'!$G$8+Slow!AC62*'Weighted 2'!$H$8</f>
        <v>0</v>
      </c>
      <c r="AD65" s="16">
        <f>Central!AD62*'Weighted 2'!$F$8+Step!AD62*'Weighted 2'!$G$8+Slow!AD62*'Weighted 2'!$H$8</f>
        <v>0</v>
      </c>
      <c r="AE65" s="16">
        <f>Central!AE62*'Weighted 2'!$F$8+Step!AE62*'Weighted 2'!$G$8+Slow!AE62*'Weighted 2'!$H$8</f>
        <v>0</v>
      </c>
      <c r="AF65" s="16">
        <f>Central!AF62*'Weighted 2'!$F$8+Step!AF62*'Weighted 2'!$G$8+Slow!AF62*'Weighted 2'!$H$8</f>
        <v>0</v>
      </c>
    </row>
    <row r="66" spans="1:32" x14ac:dyDescent="0.2">
      <c r="B66" s="172">
        <f>+'Option inputs'!$B$20</f>
        <v>6</v>
      </c>
      <c r="C66" s="13" t="str">
        <f>+'Option inputs'!$C$20</f>
        <v>Option 5</v>
      </c>
      <c r="D66" s="164"/>
      <c r="E66" s="173" t="s">
        <v>35</v>
      </c>
      <c r="F66" s="17">
        <f>Central!F63*'Weighted 2'!$F$8+Step!F63*'Weighted 2'!$G$8+Slow!F63*'Weighted 2'!$H$8</f>
        <v>0</v>
      </c>
      <c r="G66" s="16" t="e">
        <f>Central!G63*'Weighted 2'!$F$8+Step!G63*'Weighted 2'!$G$8+Slow!G63*'Weighted 2'!$H$8</f>
        <v>#VALUE!</v>
      </c>
      <c r="H66" s="16">
        <f>Central!H63*'Weighted 2'!$F$8+Step!H63*'Weighted 2'!$G$8+Slow!H63*'Weighted 2'!$H$8</f>
        <v>0</v>
      </c>
      <c r="I66" s="16">
        <f>Central!I63*'Weighted 2'!$F$8+Step!I63*'Weighted 2'!$G$8+Slow!I63*'Weighted 2'!$H$8</f>
        <v>0</v>
      </c>
      <c r="J66" s="16">
        <f>Central!J63*'Weighted 2'!$F$8+Step!J63*'Weighted 2'!$G$8+Slow!J63*'Weighted 2'!$H$8</f>
        <v>0</v>
      </c>
      <c r="K66" s="16">
        <f>Central!K63*'Weighted 2'!$F$8+Step!K63*'Weighted 2'!$G$8+Slow!K63*'Weighted 2'!$H$8</f>
        <v>0</v>
      </c>
      <c r="L66" s="16">
        <f>Central!L63*'Weighted 2'!$F$8+Step!L63*'Weighted 2'!$G$8+Slow!L63*'Weighted 2'!$H$8</f>
        <v>0</v>
      </c>
      <c r="M66" s="16">
        <f>Central!M63*'Weighted 2'!$F$8+Step!M63*'Weighted 2'!$G$8+Slow!M63*'Weighted 2'!$H$8</f>
        <v>0</v>
      </c>
      <c r="N66" s="16">
        <f>Central!N63*'Weighted 2'!$F$8+Step!N63*'Weighted 2'!$G$8+Slow!N63*'Weighted 2'!$H$8</f>
        <v>0</v>
      </c>
      <c r="O66" s="16">
        <f>Central!O63*'Weighted 2'!$F$8+Step!O63*'Weighted 2'!$G$8+Slow!O63*'Weighted 2'!$H$8</f>
        <v>0</v>
      </c>
      <c r="P66" s="16">
        <f>Central!P63*'Weighted 2'!$F$8+Step!P63*'Weighted 2'!$G$8+Slow!P63*'Weighted 2'!$H$8</f>
        <v>0</v>
      </c>
      <c r="Q66" s="16">
        <f>Central!Q63*'Weighted 2'!$F$8+Step!Q63*'Weighted 2'!$G$8+Slow!Q63*'Weighted 2'!$H$8</f>
        <v>0</v>
      </c>
      <c r="R66" s="16">
        <f>Central!R63*'Weighted 2'!$F$8+Step!R63*'Weighted 2'!$G$8+Slow!R63*'Weighted 2'!$H$8</f>
        <v>0</v>
      </c>
      <c r="S66" s="16">
        <f>Central!S63*'Weighted 2'!$F$8+Step!S63*'Weighted 2'!$G$8+Slow!S63*'Weighted 2'!$H$8</f>
        <v>0</v>
      </c>
      <c r="T66" s="16">
        <f>Central!T63*'Weighted 2'!$F$8+Step!T63*'Weighted 2'!$G$8+Slow!T63*'Weighted 2'!$H$8</f>
        <v>0</v>
      </c>
      <c r="U66" s="16">
        <f>Central!U63*'Weighted 2'!$F$8+Step!U63*'Weighted 2'!$G$8+Slow!U63*'Weighted 2'!$H$8</f>
        <v>0</v>
      </c>
      <c r="V66" s="16">
        <f>Central!V63*'Weighted 2'!$F$8+Step!V63*'Weighted 2'!$G$8+Slow!V63*'Weighted 2'!$H$8</f>
        <v>0</v>
      </c>
      <c r="W66" s="16">
        <f>Central!W63*'Weighted 2'!$F$8+Step!W63*'Weighted 2'!$G$8+Slow!W63*'Weighted 2'!$H$8</f>
        <v>0</v>
      </c>
      <c r="X66" s="16">
        <f>Central!X63*'Weighted 2'!$F$8+Step!X63*'Weighted 2'!$G$8+Slow!X63*'Weighted 2'!$H$8</f>
        <v>0</v>
      </c>
      <c r="Y66" s="16">
        <f>Central!Y63*'Weighted 2'!$F$8+Step!Y63*'Weighted 2'!$G$8+Slow!Y63*'Weighted 2'!$H$8</f>
        <v>0</v>
      </c>
      <c r="Z66" s="16">
        <f>Central!Z63*'Weighted 2'!$F$8+Step!Z63*'Weighted 2'!$G$8+Slow!Z63*'Weighted 2'!$H$8</f>
        <v>0</v>
      </c>
      <c r="AA66" s="16">
        <f>Central!AA63*'Weighted 2'!$F$8+Step!AA63*'Weighted 2'!$G$8+Slow!AA63*'Weighted 2'!$H$8</f>
        <v>0</v>
      </c>
      <c r="AB66" s="16">
        <f>Central!AB63*'Weighted 2'!$F$8+Step!AB63*'Weighted 2'!$G$8+Slow!AB63*'Weighted 2'!$H$8</f>
        <v>0</v>
      </c>
      <c r="AC66" s="16">
        <f>Central!AC63*'Weighted 2'!$F$8+Step!AC63*'Weighted 2'!$G$8+Slow!AC63*'Weighted 2'!$H$8</f>
        <v>0</v>
      </c>
      <c r="AD66" s="16">
        <f>Central!AD63*'Weighted 2'!$F$8+Step!AD63*'Weighted 2'!$G$8+Slow!AD63*'Weighted 2'!$H$8</f>
        <v>0</v>
      </c>
      <c r="AE66" s="16">
        <f>Central!AE63*'Weighted 2'!$F$8+Step!AE63*'Weighted 2'!$G$8+Slow!AE63*'Weighted 2'!$H$8</f>
        <v>0</v>
      </c>
      <c r="AF66" s="16">
        <f>Central!AF63*'Weighted 2'!$F$8+Step!AF63*'Weighted 2'!$G$8+Slow!AF63*'Weighted 2'!$H$8</f>
        <v>0</v>
      </c>
    </row>
    <row r="67" spans="1:32" x14ac:dyDescent="0.2">
      <c r="B67" s="172" t="e">
        <f>+'Option inputs'!#REF!</f>
        <v>#REF!</v>
      </c>
      <c r="C67" s="13" t="e">
        <f>+'Option inputs'!#REF!</f>
        <v>#REF!</v>
      </c>
      <c r="D67" s="164"/>
      <c r="E67" s="173" t="s">
        <v>35</v>
      </c>
      <c r="F67" s="17" t="e">
        <f>Central!#REF!*'Weighted 2'!$F$8+Step!#REF!*'Weighted 2'!$G$8+Slow!#REF!*'Weighted 2'!$H$8</f>
        <v>#REF!</v>
      </c>
      <c r="G67" s="16" t="e">
        <f>Central!#REF!*'Weighted 2'!$F$8+Step!#REF!*'Weighted 2'!$G$8+Slow!#REF!*'Weighted 2'!$H$8</f>
        <v>#REF!</v>
      </c>
      <c r="H67" s="16" t="e">
        <f>Central!#REF!*'Weighted 2'!$F$8+Step!#REF!*'Weighted 2'!$G$8+Slow!#REF!*'Weighted 2'!$H$8</f>
        <v>#REF!</v>
      </c>
      <c r="I67" s="16" t="e">
        <f>Central!#REF!*'Weighted 2'!$F$8+Step!#REF!*'Weighted 2'!$G$8+Slow!#REF!*'Weighted 2'!$H$8</f>
        <v>#REF!</v>
      </c>
      <c r="J67" s="16" t="e">
        <f>Central!#REF!*'Weighted 2'!$F$8+Step!#REF!*'Weighted 2'!$G$8+Slow!#REF!*'Weighted 2'!$H$8</f>
        <v>#REF!</v>
      </c>
      <c r="K67" s="16" t="e">
        <f>Central!#REF!*'Weighted 2'!$F$8+Step!#REF!*'Weighted 2'!$G$8+Slow!#REF!*'Weighted 2'!$H$8</f>
        <v>#REF!</v>
      </c>
      <c r="L67" s="16" t="e">
        <f>Central!#REF!*'Weighted 2'!$F$8+Step!#REF!*'Weighted 2'!$G$8+Slow!#REF!*'Weighted 2'!$H$8</f>
        <v>#REF!</v>
      </c>
      <c r="M67" s="16" t="e">
        <f>Central!#REF!*'Weighted 2'!$F$8+Step!#REF!*'Weighted 2'!$G$8+Slow!#REF!*'Weighted 2'!$H$8</f>
        <v>#REF!</v>
      </c>
      <c r="N67" s="16" t="e">
        <f>Central!#REF!*'Weighted 2'!$F$8+Step!#REF!*'Weighted 2'!$G$8+Slow!#REF!*'Weighted 2'!$H$8</f>
        <v>#REF!</v>
      </c>
      <c r="O67" s="16" t="e">
        <f>Central!#REF!*'Weighted 2'!$F$8+Step!#REF!*'Weighted 2'!$G$8+Slow!#REF!*'Weighted 2'!$H$8</f>
        <v>#REF!</v>
      </c>
      <c r="P67" s="16" t="e">
        <f>Central!#REF!*'Weighted 2'!$F$8+Step!#REF!*'Weighted 2'!$G$8+Slow!#REF!*'Weighted 2'!$H$8</f>
        <v>#REF!</v>
      </c>
      <c r="Q67" s="16" t="e">
        <f>Central!#REF!*'Weighted 2'!$F$8+Step!#REF!*'Weighted 2'!$G$8+Slow!#REF!*'Weighted 2'!$H$8</f>
        <v>#REF!</v>
      </c>
      <c r="R67" s="16" t="e">
        <f>Central!#REF!*'Weighted 2'!$F$8+Step!#REF!*'Weighted 2'!$G$8+Slow!#REF!*'Weighted 2'!$H$8</f>
        <v>#REF!</v>
      </c>
      <c r="S67" s="16" t="e">
        <f>Central!#REF!*'Weighted 2'!$F$8+Step!#REF!*'Weighted 2'!$G$8+Slow!#REF!*'Weighted 2'!$H$8</f>
        <v>#REF!</v>
      </c>
      <c r="T67" s="16" t="e">
        <f>Central!#REF!*'Weighted 2'!$F$8+Step!#REF!*'Weighted 2'!$G$8+Slow!#REF!*'Weighted 2'!$H$8</f>
        <v>#REF!</v>
      </c>
      <c r="U67" s="16" t="e">
        <f>Central!#REF!*'Weighted 2'!$F$8+Step!#REF!*'Weighted 2'!$G$8+Slow!#REF!*'Weighted 2'!$H$8</f>
        <v>#REF!</v>
      </c>
      <c r="V67" s="16" t="e">
        <f>Central!#REF!*'Weighted 2'!$F$8+Step!#REF!*'Weighted 2'!$G$8+Slow!#REF!*'Weighted 2'!$H$8</f>
        <v>#REF!</v>
      </c>
      <c r="W67" s="16" t="e">
        <f>Central!#REF!*'Weighted 2'!$F$8+Step!#REF!*'Weighted 2'!$G$8+Slow!#REF!*'Weighted 2'!$H$8</f>
        <v>#REF!</v>
      </c>
      <c r="X67" s="16" t="e">
        <f>Central!#REF!*'Weighted 2'!$F$8+Step!#REF!*'Weighted 2'!$G$8+Slow!#REF!*'Weighted 2'!$H$8</f>
        <v>#REF!</v>
      </c>
      <c r="Y67" s="16" t="e">
        <f>Central!#REF!*'Weighted 2'!$F$8+Step!#REF!*'Weighted 2'!$G$8+Slow!#REF!*'Weighted 2'!$H$8</f>
        <v>#REF!</v>
      </c>
      <c r="Z67" s="16" t="e">
        <f>Central!#REF!*'Weighted 2'!$F$8+Step!#REF!*'Weighted 2'!$G$8+Slow!#REF!*'Weighted 2'!$H$8</f>
        <v>#REF!</v>
      </c>
      <c r="AA67" s="16" t="e">
        <f>Central!#REF!*'Weighted 2'!$F$8+Step!#REF!*'Weighted 2'!$G$8+Slow!#REF!*'Weighted 2'!$H$8</f>
        <v>#REF!</v>
      </c>
      <c r="AB67" s="16" t="e">
        <f>Central!#REF!*'Weighted 2'!$F$8+Step!#REF!*'Weighted 2'!$G$8+Slow!#REF!*'Weighted 2'!$H$8</f>
        <v>#REF!</v>
      </c>
      <c r="AC67" s="16" t="e">
        <f>Central!#REF!*'Weighted 2'!$F$8+Step!#REF!*'Weighted 2'!$G$8+Slow!#REF!*'Weighted 2'!$H$8</f>
        <v>#REF!</v>
      </c>
      <c r="AD67" s="16" t="e">
        <f>Central!#REF!*'Weighted 2'!$F$8+Step!#REF!*'Weighted 2'!$G$8+Slow!#REF!*'Weighted 2'!$H$8</f>
        <v>#REF!</v>
      </c>
      <c r="AE67" s="16" t="e">
        <f>Central!#REF!*'Weighted 2'!$F$8+Step!#REF!*'Weighted 2'!$G$8+Slow!#REF!*'Weighted 2'!$H$8</f>
        <v>#REF!</v>
      </c>
      <c r="AF67" s="16" t="e">
        <f>Central!#REF!*'Weighted 2'!$F$8+Step!#REF!*'Weighted 2'!$G$8+Slow!#REF!*'Weighted 2'!$H$8</f>
        <v>#REF!</v>
      </c>
    </row>
    <row r="68" spans="1:32" x14ac:dyDescent="0.2">
      <c r="B68" s="172" t="e">
        <f>+'Option inputs'!#REF!</f>
        <v>#REF!</v>
      </c>
      <c r="C68" s="13" t="e">
        <f>+'Option inputs'!#REF!</f>
        <v>#REF!</v>
      </c>
      <c r="D68" s="164"/>
      <c r="E68" s="173" t="s">
        <v>35</v>
      </c>
      <c r="F68" s="17" t="e">
        <f>Central!#REF!*'Weighted 2'!$F$8+Step!#REF!*'Weighted 2'!$G$8+Slow!#REF!*'Weighted 2'!$H$8</f>
        <v>#REF!</v>
      </c>
      <c r="G68" s="16" t="e">
        <f>Central!#REF!*'Weighted 2'!$F$8+Step!#REF!*'Weighted 2'!$G$8+Slow!#REF!*'Weighted 2'!$H$8</f>
        <v>#REF!</v>
      </c>
      <c r="H68" s="16" t="e">
        <f>Central!#REF!*'Weighted 2'!$F$8+Step!#REF!*'Weighted 2'!$G$8+Slow!#REF!*'Weighted 2'!$H$8</f>
        <v>#REF!</v>
      </c>
      <c r="I68" s="16" t="e">
        <f>Central!#REF!*'Weighted 2'!$F$8+Step!#REF!*'Weighted 2'!$G$8+Slow!#REF!*'Weighted 2'!$H$8</f>
        <v>#REF!</v>
      </c>
      <c r="J68" s="16" t="e">
        <f>Central!#REF!*'Weighted 2'!$F$8+Step!#REF!*'Weighted 2'!$G$8+Slow!#REF!*'Weighted 2'!$H$8</f>
        <v>#REF!</v>
      </c>
      <c r="K68" s="16" t="e">
        <f>Central!#REF!*'Weighted 2'!$F$8+Step!#REF!*'Weighted 2'!$G$8+Slow!#REF!*'Weighted 2'!$H$8</f>
        <v>#REF!</v>
      </c>
      <c r="L68" s="16" t="e">
        <f>Central!#REF!*'Weighted 2'!$F$8+Step!#REF!*'Weighted 2'!$G$8+Slow!#REF!*'Weighted 2'!$H$8</f>
        <v>#REF!</v>
      </c>
      <c r="M68" s="16" t="e">
        <f>Central!#REF!*'Weighted 2'!$F$8+Step!#REF!*'Weighted 2'!$G$8+Slow!#REF!*'Weighted 2'!$H$8</f>
        <v>#REF!</v>
      </c>
      <c r="N68" s="16" t="e">
        <f>Central!#REF!*'Weighted 2'!$F$8+Step!#REF!*'Weighted 2'!$G$8+Slow!#REF!*'Weighted 2'!$H$8</f>
        <v>#REF!</v>
      </c>
      <c r="O68" s="16" t="e">
        <f>Central!#REF!*'Weighted 2'!$F$8+Step!#REF!*'Weighted 2'!$G$8+Slow!#REF!*'Weighted 2'!$H$8</f>
        <v>#REF!</v>
      </c>
      <c r="P68" s="16" t="e">
        <f>Central!#REF!*'Weighted 2'!$F$8+Step!#REF!*'Weighted 2'!$G$8+Slow!#REF!*'Weighted 2'!$H$8</f>
        <v>#REF!</v>
      </c>
      <c r="Q68" s="16" t="e">
        <f>Central!#REF!*'Weighted 2'!$F$8+Step!#REF!*'Weighted 2'!$G$8+Slow!#REF!*'Weighted 2'!$H$8</f>
        <v>#REF!</v>
      </c>
      <c r="R68" s="16" t="e">
        <f>Central!#REF!*'Weighted 2'!$F$8+Step!#REF!*'Weighted 2'!$G$8+Slow!#REF!*'Weighted 2'!$H$8</f>
        <v>#REF!</v>
      </c>
      <c r="S68" s="16" t="e">
        <f>Central!#REF!*'Weighted 2'!$F$8+Step!#REF!*'Weighted 2'!$G$8+Slow!#REF!*'Weighted 2'!$H$8</f>
        <v>#REF!</v>
      </c>
      <c r="T68" s="16" t="e">
        <f>Central!#REF!*'Weighted 2'!$F$8+Step!#REF!*'Weighted 2'!$G$8+Slow!#REF!*'Weighted 2'!$H$8</f>
        <v>#REF!</v>
      </c>
      <c r="U68" s="16" t="e">
        <f>Central!#REF!*'Weighted 2'!$F$8+Step!#REF!*'Weighted 2'!$G$8+Slow!#REF!*'Weighted 2'!$H$8</f>
        <v>#REF!</v>
      </c>
      <c r="V68" s="16" t="e">
        <f>Central!#REF!*'Weighted 2'!$F$8+Step!#REF!*'Weighted 2'!$G$8+Slow!#REF!*'Weighted 2'!$H$8</f>
        <v>#REF!</v>
      </c>
      <c r="W68" s="16" t="e">
        <f>Central!#REF!*'Weighted 2'!$F$8+Step!#REF!*'Weighted 2'!$G$8+Slow!#REF!*'Weighted 2'!$H$8</f>
        <v>#REF!</v>
      </c>
      <c r="X68" s="16" t="e">
        <f>Central!#REF!*'Weighted 2'!$F$8+Step!#REF!*'Weighted 2'!$G$8+Slow!#REF!*'Weighted 2'!$H$8</f>
        <v>#REF!</v>
      </c>
      <c r="Y68" s="16" t="e">
        <f>Central!#REF!*'Weighted 2'!$F$8+Step!#REF!*'Weighted 2'!$G$8+Slow!#REF!*'Weighted 2'!$H$8</f>
        <v>#REF!</v>
      </c>
      <c r="Z68" s="16" t="e">
        <f>Central!#REF!*'Weighted 2'!$F$8+Step!#REF!*'Weighted 2'!$G$8+Slow!#REF!*'Weighted 2'!$H$8</f>
        <v>#REF!</v>
      </c>
      <c r="AA68" s="16" t="e">
        <f>Central!#REF!*'Weighted 2'!$F$8+Step!#REF!*'Weighted 2'!$G$8+Slow!#REF!*'Weighted 2'!$H$8</f>
        <v>#REF!</v>
      </c>
      <c r="AB68" s="16" t="e">
        <f>Central!#REF!*'Weighted 2'!$F$8+Step!#REF!*'Weighted 2'!$G$8+Slow!#REF!*'Weighted 2'!$H$8</f>
        <v>#REF!</v>
      </c>
      <c r="AC68" s="16" t="e">
        <f>Central!#REF!*'Weighted 2'!$F$8+Step!#REF!*'Weighted 2'!$G$8+Slow!#REF!*'Weighted 2'!$H$8</f>
        <v>#REF!</v>
      </c>
      <c r="AD68" s="16" t="e">
        <f>Central!#REF!*'Weighted 2'!$F$8+Step!#REF!*'Weighted 2'!$G$8+Slow!#REF!*'Weighted 2'!$H$8</f>
        <v>#REF!</v>
      </c>
      <c r="AE68" s="16" t="e">
        <f>Central!#REF!*'Weighted 2'!$F$8+Step!#REF!*'Weighted 2'!$G$8+Slow!#REF!*'Weighted 2'!$H$8</f>
        <v>#REF!</v>
      </c>
      <c r="AF68" s="16" t="e">
        <f>Central!#REF!*'Weighted 2'!$F$8+Step!#REF!*'Weighted 2'!$G$8+Slow!#REF!*'Weighted 2'!$H$8</f>
        <v>#REF!</v>
      </c>
    </row>
    <row r="69" spans="1:32" x14ac:dyDescent="0.2">
      <c r="B69" s="172" t="e">
        <f>+'Option inputs'!#REF!</f>
        <v>#REF!</v>
      </c>
      <c r="C69" s="13" t="e">
        <f>+'Option inputs'!#REF!</f>
        <v>#REF!</v>
      </c>
      <c r="D69" s="164"/>
      <c r="E69" s="173" t="s">
        <v>35</v>
      </c>
      <c r="F69" s="17" t="e">
        <f>Central!#REF!*'Weighted 2'!$F$8+Step!#REF!*'Weighted 2'!$G$8+Slow!#REF!*'Weighted 2'!$H$8</f>
        <v>#REF!</v>
      </c>
      <c r="G69" s="16" t="e">
        <f>Central!#REF!*'Weighted 2'!$F$8+Step!#REF!*'Weighted 2'!$G$8+Slow!#REF!*'Weighted 2'!$H$8</f>
        <v>#REF!</v>
      </c>
      <c r="H69" s="16" t="e">
        <f>Central!#REF!*'Weighted 2'!$F$8+Step!#REF!*'Weighted 2'!$G$8+Slow!#REF!*'Weighted 2'!$H$8</f>
        <v>#REF!</v>
      </c>
      <c r="I69" s="16" t="e">
        <f>Central!#REF!*'Weighted 2'!$F$8+Step!#REF!*'Weighted 2'!$G$8+Slow!#REF!*'Weighted 2'!$H$8</f>
        <v>#REF!</v>
      </c>
      <c r="J69" s="16" t="e">
        <f>Central!#REF!*'Weighted 2'!$F$8+Step!#REF!*'Weighted 2'!$G$8+Slow!#REF!*'Weighted 2'!$H$8</f>
        <v>#REF!</v>
      </c>
      <c r="K69" s="16" t="e">
        <f>Central!#REF!*'Weighted 2'!$F$8+Step!#REF!*'Weighted 2'!$G$8+Slow!#REF!*'Weighted 2'!$H$8</f>
        <v>#REF!</v>
      </c>
      <c r="L69" s="16" t="e">
        <f>Central!#REF!*'Weighted 2'!$F$8+Step!#REF!*'Weighted 2'!$G$8+Slow!#REF!*'Weighted 2'!$H$8</f>
        <v>#REF!</v>
      </c>
      <c r="M69" s="16" t="e">
        <f>Central!#REF!*'Weighted 2'!$F$8+Step!#REF!*'Weighted 2'!$G$8+Slow!#REF!*'Weighted 2'!$H$8</f>
        <v>#REF!</v>
      </c>
      <c r="N69" s="16" t="e">
        <f>Central!#REF!*'Weighted 2'!$F$8+Step!#REF!*'Weighted 2'!$G$8+Slow!#REF!*'Weighted 2'!$H$8</f>
        <v>#REF!</v>
      </c>
      <c r="O69" s="16" t="e">
        <f>Central!#REF!*'Weighted 2'!$F$8+Step!#REF!*'Weighted 2'!$G$8+Slow!#REF!*'Weighted 2'!$H$8</f>
        <v>#REF!</v>
      </c>
      <c r="P69" s="16" t="e">
        <f>Central!#REF!*'Weighted 2'!$F$8+Step!#REF!*'Weighted 2'!$G$8+Slow!#REF!*'Weighted 2'!$H$8</f>
        <v>#REF!</v>
      </c>
      <c r="Q69" s="16" t="e">
        <f>Central!#REF!*'Weighted 2'!$F$8+Step!#REF!*'Weighted 2'!$G$8+Slow!#REF!*'Weighted 2'!$H$8</f>
        <v>#REF!</v>
      </c>
      <c r="R69" s="16" t="e">
        <f>Central!#REF!*'Weighted 2'!$F$8+Step!#REF!*'Weighted 2'!$G$8+Slow!#REF!*'Weighted 2'!$H$8</f>
        <v>#REF!</v>
      </c>
      <c r="S69" s="16" t="e">
        <f>Central!#REF!*'Weighted 2'!$F$8+Step!#REF!*'Weighted 2'!$G$8+Slow!#REF!*'Weighted 2'!$H$8</f>
        <v>#REF!</v>
      </c>
      <c r="T69" s="16" t="e">
        <f>Central!#REF!*'Weighted 2'!$F$8+Step!#REF!*'Weighted 2'!$G$8+Slow!#REF!*'Weighted 2'!$H$8</f>
        <v>#REF!</v>
      </c>
      <c r="U69" s="16" t="e">
        <f>Central!#REF!*'Weighted 2'!$F$8+Step!#REF!*'Weighted 2'!$G$8+Slow!#REF!*'Weighted 2'!$H$8</f>
        <v>#REF!</v>
      </c>
      <c r="V69" s="16" t="e">
        <f>Central!#REF!*'Weighted 2'!$F$8+Step!#REF!*'Weighted 2'!$G$8+Slow!#REF!*'Weighted 2'!$H$8</f>
        <v>#REF!</v>
      </c>
      <c r="W69" s="16" t="e">
        <f>Central!#REF!*'Weighted 2'!$F$8+Step!#REF!*'Weighted 2'!$G$8+Slow!#REF!*'Weighted 2'!$H$8</f>
        <v>#REF!</v>
      </c>
      <c r="X69" s="16" t="e">
        <f>Central!#REF!*'Weighted 2'!$F$8+Step!#REF!*'Weighted 2'!$G$8+Slow!#REF!*'Weighted 2'!$H$8</f>
        <v>#REF!</v>
      </c>
      <c r="Y69" s="16" t="e">
        <f>Central!#REF!*'Weighted 2'!$F$8+Step!#REF!*'Weighted 2'!$G$8+Slow!#REF!*'Weighted 2'!$H$8</f>
        <v>#REF!</v>
      </c>
      <c r="Z69" s="16" t="e">
        <f>Central!#REF!*'Weighted 2'!$F$8+Step!#REF!*'Weighted 2'!$G$8+Slow!#REF!*'Weighted 2'!$H$8</f>
        <v>#REF!</v>
      </c>
      <c r="AA69" s="16" t="e">
        <f>Central!#REF!*'Weighted 2'!$F$8+Step!#REF!*'Weighted 2'!$G$8+Slow!#REF!*'Weighted 2'!$H$8</f>
        <v>#REF!</v>
      </c>
      <c r="AB69" s="16" t="e">
        <f>Central!#REF!*'Weighted 2'!$F$8+Step!#REF!*'Weighted 2'!$G$8+Slow!#REF!*'Weighted 2'!$H$8</f>
        <v>#REF!</v>
      </c>
      <c r="AC69" s="16" t="e">
        <f>Central!#REF!*'Weighted 2'!$F$8+Step!#REF!*'Weighted 2'!$G$8+Slow!#REF!*'Weighted 2'!$H$8</f>
        <v>#REF!</v>
      </c>
      <c r="AD69" s="16" t="e">
        <f>Central!#REF!*'Weighted 2'!$F$8+Step!#REF!*'Weighted 2'!$G$8+Slow!#REF!*'Weighted 2'!$H$8</f>
        <v>#REF!</v>
      </c>
      <c r="AE69" s="16" t="e">
        <f>Central!#REF!*'Weighted 2'!$F$8+Step!#REF!*'Weighted 2'!$G$8+Slow!#REF!*'Weighted 2'!$H$8</f>
        <v>#REF!</v>
      </c>
      <c r="AF69" s="16" t="e">
        <f>Central!#REF!*'Weighted 2'!$F$8+Step!#REF!*'Weighted 2'!$G$8+Slow!#REF!*'Weighted 2'!$H$8</f>
        <v>#REF!</v>
      </c>
    </row>
    <row r="70" spans="1:32" x14ac:dyDescent="0.2">
      <c r="B70" s="172" t="e">
        <f>+'Option inputs'!#REF!</f>
        <v>#REF!</v>
      </c>
      <c r="C70" s="13" t="e">
        <f>+'Option inputs'!#REF!</f>
        <v>#REF!</v>
      </c>
      <c r="D70" s="164"/>
      <c r="E70" s="173" t="s">
        <v>35</v>
      </c>
      <c r="F70" s="17" t="e">
        <f>Central!#REF!*'Weighted 2'!$F$8+Step!#REF!*'Weighted 2'!$G$8+Slow!#REF!*'Weighted 2'!$H$8</f>
        <v>#REF!</v>
      </c>
      <c r="G70" s="16" t="e">
        <f>Central!#REF!*'Weighted 2'!$F$8+Step!#REF!*'Weighted 2'!$G$8+Slow!#REF!*'Weighted 2'!$H$8</f>
        <v>#REF!</v>
      </c>
      <c r="H70" s="16" t="e">
        <f>Central!#REF!*'Weighted 2'!$F$8+Step!#REF!*'Weighted 2'!$G$8+Slow!#REF!*'Weighted 2'!$H$8</f>
        <v>#REF!</v>
      </c>
      <c r="I70" s="16" t="e">
        <f>Central!#REF!*'Weighted 2'!$F$8+Step!#REF!*'Weighted 2'!$G$8+Slow!#REF!*'Weighted 2'!$H$8</f>
        <v>#REF!</v>
      </c>
      <c r="J70" s="16" t="e">
        <f>Central!#REF!*'Weighted 2'!$F$8+Step!#REF!*'Weighted 2'!$G$8+Slow!#REF!*'Weighted 2'!$H$8</f>
        <v>#REF!</v>
      </c>
      <c r="K70" s="16" t="e">
        <f>Central!#REF!*'Weighted 2'!$F$8+Step!#REF!*'Weighted 2'!$G$8+Slow!#REF!*'Weighted 2'!$H$8</f>
        <v>#REF!</v>
      </c>
      <c r="L70" s="16" t="e">
        <f>Central!#REF!*'Weighted 2'!$F$8+Step!#REF!*'Weighted 2'!$G$8+Slow!#REF!*'Weighted 2'!$H$8</f>
        <v>#REF!</v>
      </c>
      <c r="M70" s="16" t="e">
        <f>Central!#REF!*'Weighted 2'!$F$8+Step!#REF!*'Weighted 2'!$G$8+Slow!#REF!*'Weighted 2'!$H$8</f>
        <v>#REF!</v>
      </c>
      <c r="N70" s="16" t="e">
        <f>Central!#REF!*'Weighted 2'!$F$8+Step!#REF!*'Weighted 2'!$G$8+Slow!#REF!*'Weighted 2'!$H$8</f>
        <v>#REF!</v>
      </c>
      <c r="O70" s="16" t="e">
        <f>Central!#REF!*'Weighted 2'!$F$8+Step!#REF!*'Weighted 2'!$G$8+Slow!#REF!*'Weighted 2'!$H$8</f>
        <v>#REF!</v>
      </c>
      <c r="P70" s="16" t="e">
        <f>Central!#REF!*'Weighted 2'!$F$8+Step!#REF!*'Weighted 2'!$G$8+Slow!#REF!*'Weighted 2'!$H$8</f>
        <v>#REF!</v>
      </c>
      <c r="Q70" s="16" t="e">
        <f>Central!#REF!*'Weighted 2'!$F$8+Step!#REF!*'Weighted 2'!$G$8+Slow!#REF!*'Weighted 2'!$H$8</f>
        <v>#REF!</v>
      </c>
      <c r="R70" s="16" t="e">
        <f>Central!#REF!*'Weighted 2'!$F$8+Step!#REF!*'Weighted 2'!$G$8+Slow!#REF!*'Weighted 2'!$H$8</f>
        <v>#REF!</v>
      </c>
      <c r="S70" s="16" t="e">
        <f>Central!#REF!*'Weighted 2'!$F$8+Step!#REF!*'Weighted 2'!$G$8+Slow!#REF!*'Weighted 2'!$H$8</f>
        <v>#REF!</v>
      </c>
      <c r="T70" s="16" t="e">
        <f>Central!#REF!*'Weighted 2'!$F$8+Step!#REF!*'Weighted 2'!$G$8+Slow!#REF!*'Weighted 2'!$H$8</f>
        <v>#REF!</v>
      </c>
      <c r="U70" s="16" t="e">
        <f>Central!#REF!*'Weighted 2'!$F$8+Step!#REF!*'Weighted 2'!$G$8+Slow!#REF!*'Weighted 2'!$H$8</f>
        <v>#REF!</v>
      </c>
      <c r="V70" s="16" t="e">
        <f>Central!#REF!*'Weighted 2'!$F$8+Step!#REF!*'Weighted 2'!$G$8+Slow!#REF!*'Weighted 2'!$H$8</f>
        <v>#REF!</v>
      </c>
      <c r="W70" s="16" t="e">
        <f>Central!#REF!*'Weighted 2'!$F$8+Step!#REF!*'Weighted 2'!$G$8+Slow!#REF!*'Weighted 2'!$H$8</f>
        <v>#REF!</v>
      </c>
      <c r="X70" s="16" t="e">
        <f>Central!#REF!*'Weighted 2'!$F$8+Step!#REF!*'Weighted 2'!$G$8+Slow!#REF!*'Weighted 2'!$H$8</f>
        <v>#REF!</v>
      </c>
      <c r="Y70" s="16" t="e">
        <f>Central!#REF!*'Weighted 2'!$F$8+Step!#REF!*'Weighted 2'!$G$8+Slow!#REF!*'Weighted 2'!$H$8</f>
        <v>#REF!</v>
      </c>
      <c r="Z70" s="16" t="e">
        <f>Central!#REF!*'Weighted 2'!$F$8+Step!#REF!*'Weighted 2'!$G$8+Slow!#REF!*'Weighted 2'!$H$8</f>
        <v>#REF!</v>
      </c>
      <c r="AA70" s="16" t="e">
        <f>Central!#REF!*'Weighted 2'!$F$8+Step!#REF!*'Weighted 2'!$G$8+Slow!#REF!*'Weighted 2'!$H$8</f>
        <v>#REF!</v>
      </c>
      <c r="AB70" s="16" t="e">
        <f>Central!#REF!*'Weighted 2'!$F$8+Step!#REF!*'Weighted 2'!$G$8+Slow!#REF!*'Weighted 2'!$H$8</f>
        <v>#REF!</v>
      </c>
      <c r="AC70" s="16" t="e">
        <f>Central!#REF!*'Weighted 2'!$F$8+Step!#REF!*'Weighted 2'!$G$8+Slow!#REF!*'Weighted 2'!$H$8</f>
        <v>#REF!</v>
      </c>
      <c r="AD70" s="16" t="e">
        <f>Central!#REF!*'Weighted 2'!$F$8+Step!#REF!*'Weighted 2'!$G$8+Slow!#REF!*'Weighted 2'!$H$8</f>
        <v>#REF!</v>
      </c>
      <c r="AE70" s="16" t="e">
        <f>Central!#REF!*'Weighted 2'!$F$8+Step!#REF!*'Weighted 2'!$G$8+Slow!#REF!*'Weighted 2'!$H$8</f>
        <v>#REF!</v>
      </c>
      <c r="AF70" s="16" t="e">
        <f>Central!#REF!*'Weighted 2'!$F$8+Step!#REF!*'Weighted 2'!$G$8+Slow!#REF!*'Weighted 2'!$H$8</f>
        <v>#REF!</v>
      </c>
    </row>
    <row r="71" spans="1:32" x14ac:dyDescent="0.2">
      <c r="B71" s="161"/>
      <c r="C71" s="165"/>
      <c r="D71" s="165"/>
      <c r="E71" s="161"/>
      <c r="F71" s="126"/>
    </row>
    <row r="72" spans="1:32" ht="15.75" x14ac:dyDescent="0.25">
      <c r="B72" s="166" t="str">
        <f>+'CBA Inputs'!B102</f>
        <v>TransGrid operating costs</v>
      </c>
      <c r="C72" s="167"/>
      <c r="D72" s="167"/>
      <c r="E72" s="10"/>
      <c r="F72" s="10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</row>
    <row r="73" spans="1:32" ht="15.75" x14ac:dyDescent="0.25">
      <c r="B73" s="168" t="s">
        <v>14</v>
      </c>
      <c r="C73" s="169" t="s">
        <v>13</v>
      </c>
      <c r="D73" s="169"/>
      <c r="E73" s="170" t="s">
        <v>22</v>
      </c>
      <c r="F73" s="170" t="s">
        <v>37</v>
      </c>
      <c r="G73" s="171" t="str">
        <f>G$55</f>
        <v>FY 2020-21</v>
      </c>
      <c r="H73" s="171" t="str">
        <f t="shared" ref="H73:AF73" si="17">H$55</f>
        <v>FY 2021-22</v>
      </c>
      <c r="I73" s="171" t="str">
        <f t="shared" si="17"/>
        <v>FY 2022-23</v>
      </c>
      <c r="J73" s="171" t="str">
        <f t="shared" si="17"/>
        <v>FY 2023-24</v>
      </c>
      <c r="K73" s="171" t="str">
        <f t="shared" si="17"/>
        <v>FY 2024-25</v>
      </c>
      <c r="L73" s="171" t="str">
        <f t="shared" si="17"/>
        <v>FY 2025-26</v>
      </c>
      <c r="M73" s="171" t="str">
        <f t="shared" si="17"/>
        <v>FY 2026-27</v>
      </c>
      <c r="N73" s="171" t="str">
        <f t="shared" si="17"/>
        <v>FY 2027-28</v>
      </c>
      <c r="O73" s="171" t="str">
        <f t="shared" si="17"/>
        <v>FY 2028-29</v>
      </c>
      <c r="P73" s="171" t="str">
        <f t="shared" si="17"/>
        <v>FY 2029-30</v>
      </c>
      <c r="Q73" s="171" t="str">
        <f t="shared" si="17"/>
        <v>FY 2030-31</v>
      </c>
      <c r="R73" s="171" t="str">
        <f t="shared" si="17"/>
        <v>FY 2031-32</v>
      </c>
      <c r="S73" s="171" t="str">
        <f t="shared" si="17"/>
        <v>FY 2032-33</v>
      </c>
      <c r="T73" s="171" t="str">
        <f t="shared" si="17"/>
        <v>FY 2033-34</v>
      </c>
      <c r="U73" s="171" t="str">
        <f t="shared" si="17"/>
        <v>FY 2034-35</v>
      </c>
      <c r="V73" s="171" t="str">
        <f t="shared" si="17"/>
        <v>FY 2035-36</v>
      </c>
      <c r="W73" s="171" t="str">
        <f t="shared" si="17"/>
        <v>FY 2036-37</v>
      </c>
      <c r="X73" s="171" t="str">
        <f t="shared" si="17"/>
        <v>FY 2037-38</v>
      </c>
      <c r="Y73" s="171" t="str">
        <f t="shared" si="17"/>
        <v>FY 2038-39</v>
      </c>
      <c r="Z73" s="171" t="str">
        <f t="shared" si="17"/>
        <v>FY 2039-40</v>
      </c>
      <c r="AA73" s="171" t="str">
        <f t="shared" si="17"/>
        <v>FY 2040-41</v>
      </c>
      <c r="AB73" s="171" t="str">
        <f t="shared" si="17"/>
        <v>FY 2041-42</v>
      </c>
      <c r="AC73" s="171" t="str">
        <f t="shared" si="17"/>
        <v>FY 2042-43</v>
      </c>
      <c r="AD73" s="171" t="str">
        <f t="shared" si="17"/>
        <v>FY 2043-44</v>
      </c>
      <c r="AE73" s="171" t="str">
        <f t="shared" si="17"/>
        <v>FY 2044-45</v>
      </c>
      <c r="AF73" s="171" t="str">
        <f t="shared" si="17"/>
        <v>FY 2045-46</v>
      </c>
    </row>
    <row r="74" spans="1:32" x14ac:dyDescent="0.2">
      <c r="B74" s="172">
        <f>+'Option inputs'!$B$15</f>
        <v>1</v>
      </c>
      <c r="C74" s="13" t="str">
        <f>+'Option inputs'!$C$15</f>
        <v>Option 1A</v>
      </c>
      <c r="D74" s="164"/>
      <c r="E74" s="173" t="s">
        <v>35</v>
      </c>
      <c r="F74" s="17">
        <f>Central!F67*'Weighted 2'!$F$8+Step!F67*'Weighted 2'!$G$8+Slow!F67*'Weighted 2'!$H$8</f>
        <v>-20378268.720397383</v>
      </c>
      <c r="G74" s="16">
        <f>(Central!G67*'Weighted 2'!$F$8)+(Step!G67*'Weighted 2'!$G$8)+(Slow!G67*'Weighted 2'!$H$8)</f>
        <v>0</v>
      </c>
      <c r="H74" s="16">
        <f>(Central!H67*'Weighted 2'!$F$8)+(Step!H67*'Weighted 2'!$G$8)+(Slow!H67*'Weighted 2'!$H$8)</f>
        <v>0</v>
      </c>
      <c r="I74" s="16">
        <f>(Central!I67*'Weighted 2'!$F$8)+(Step!I67*'Weighted 2'!$G$8)+(Slow!I67*'Weighted 2'!$H$8)</f>
        <v>0</v>
      </c>
      <c r="J74" s="16">
        <f>(Central!J67*'Weighted 2'!$F$8)+(Step!J67*'Weighted 2'!$G$8)+(Slow!J67*'Weighted 2'!$H$8)</f>
        <v>0</v>
      </c>
      <c r="K74" s="16">
        <f>(Central!K67*'Weighted 2'!$F$8)+(Step!K67*'Weighted 2'!$G$8)+(Slow!K67*'Weighted 2'!$H$8)</f>
        <v>-2110000</v>
      </c>
      <c r="L74" s="16">
        <f>(Central!L67*'Weighted 2'!$F$8)+(Step!L67*'Weighted 2'!$G$8)+(Slow!L67*'Weighted 2'!$H$8)</f>
        <v>-2110000</v>
      </c>
      <c r="M74" s="16">
        <f>(Central!M67*'Weighted 2'!$F$8)+(Step!M67*'Weighted 2'!$G$8)+(Slow!M67*'Weighted 2'!$H$8)</f>
        <v>-2110000</v>
      </c>
      <c r="N74" s="16">
        <f>(Central!N67*'Weighted 2'!$F$8)+(Step!N67*'Weighted 2'!$G$8)+(Slow!N67*'Weighted 2'!$H$8)</f>
        <v>-2110000</v>
      </c>
      <c r="O74" s="16">
        <f>(Central!O67*'Weighted 2'!$F$8)+(Step!O67*'Weighted 2'!$G$8)+(Slow!O67*'Weighted 2'!$H$8)</f>
        <v>-2110000</v>
      </c>
      <c r="P74" s="16">
        <f>(Central!P67*'Weighted 2'!$F$8)+(Step!P67*'Weighted 2'!$G$8)+(Slow!P67*'Weighted 2'!$H$8)</f>
        <v>-2110000</v>
      </c>
      <c r="Q74" s="16">
        <f>(Central!Q67*'Weighted 2'!$F$8)+(Step!Q67*'Weighted 2'!$G$8)+(Slow!Q67*'Weighted 2'!$H$8)</f>
        <v>-2110000</v>
      </c>
      <c r="R74" s="16">
        <f>(Central!R67*'Weighted 2'!$F$8)+(Step!R67*'Weighted 2'!$G$8)+(Slow!R67*'Weighted 2'!$H$8)</f>
        <v>-2110000</v>
      </c>
      <c r="S74" s="16">
        <f>(Central!S67*'Weighted 2'!$F$8)+(Step!S67*'Weighted 2'!$G$8)+(Slow!S67*'Weighted 2'!$H$8)</f>
        <v>-2110000</v>
      </c>
      <c r="T74" s="16">
        <f>(Central!T67*'Weighted 2'!$F$8)+(Step!T67*'Weighted 2'!$G$8)+(Slow!T67*'Weighted 2'!$H$8)</f>
        <v>-2110000</v>
      </c>
      <c r="U74" s="16">
        <f>(Central!U67*'Weighted 2'!$F$8)+(Step!U67*'Weighted 2'!$G$8)+(Slow!U67*'Weighted 2'!$H$8)</f>
        <v>-2110000</v>
      </c>
      <c r="V74" s="16">
        <f>(Central!V67*'Weighted 2'!$F$8)+(Step!V67*'Weighted 2'!$G$8)+(Slow!V67*'Weighted 2'!$H$8)</f>
        <v>-2110000</v>
      </c>
      <c r="W74" s="16">
        <f>(Central!W67*'Weighted 2'!$F$8)+(Step!W67*'Weighted 2'!$G$8)+(Slow!W67*'Weighted 2'!$H$8)</f>
        <v>-2110000</v>
      </c>
      <c r="X74" s="16">
        <f>(Central!X67*'Weighted 2'!$F$8)+(Step!X67*'Weighted 2'!$G$8)+(Slow!X67*'Weighted 2'!$H$8)</f>
        <v>-2110000</v>
      </c>
      <c r="Y74" s="16">
        <f>(Central!Y67*'Weighted 2'!$F$8)+(Step!Y67*'Weighted 2'!$G$8)+(Slow!Y67*'Weighted 2'!$H$8)</f>
        <v>-2110000</v>
      </c>
      <c r="Z74" s="16">
        <f>(Central!Z67*'Weighted 2'!$F$8)+(Step!Z67*'Weighted 2'!$G$8)+(Slow!Z67*'Weighted 2'!$H$8)</f>
        <v>-2110000</v>
      </c>
      <c r="AA74" s="16">
        <f>(Central!AA67*'Weighted 2'!$F$8)+(Step!AA67*'Weighted 2'!$G$8)+(Slow!AA67*'Weighted 2'!$H$8)</f>
        <v>-2110000</v>
      </c>
      <c r="AB74" s="16">
        <f>(Central!AB67*'Weighted 2'!$F$8)+(Step!AB67*'Weighted 2'!$G$8)+(Slow!AB67*'Weighted 2'!$H$8)</f>
        <v>-2110000</v>
      </c>
      <c r="AC74" s="16">
        <f>(Central!AC67*'Weighted 2'!$F$8)+(Step!AC67*'Weighted 2'!$G$8)+(Slow!AC67*'Weighted 2'!$H$8)</f>
        <v>-2110000</v>
      </c>
      <c r="AD74" s="16">
        <f>(Central!AD67*'Weighted 2'!$F$8)+(Step!AD67*'Weighted 2'!$G$8)+(Slow!AD67*'Weighted 2'!$H$8)</f>
        <v>-2110000</v>
      </c>
      <c r="AE74" s="16">
        <f>(Central!AE67*'Weighted 2'!$F$8)+(Step!AE67*'Weighted 2'!$G$8)+(Slow!AE67*'Weighted 2'!$H$8)</f>
        <v>-2110000</v>
      </c>
      <c r="AF74" s="16">
        <f>(Central!AF67*'Weighted 2'!$F$8)+(Step!AF67*'Weighted 2'!$G$8)+(Slow!AF67*'Weighted 2'!$H$8)</f>
        <v>-2110000</v>
      </c>
    </row>
    <row r="75" spans="1:32" x14ac:dyDescent="0.2">
      <c r="B75" s="172">
        <f>+'Option inputs'!$B$16</f>
        <v>2</v>
      </c>
      <c r="C75" s="13" t="str">
        <f>+'Option inputs'!$C$16</f>
        <v>Option 1B</v>
      </c>
      <c r="D75" s="164"/>
      <c r="E75" s="173" t="s">
        <v>35</v>
      </c>
      <c r="F75" s="17">
        <f>Central!F68*'Weighted 2'!$F$8+Step!F68*'Weighted 2'!$G$8+Slow!F68*'Weighted 2'!$H$8</f>
        <v>-29263580.200381078</v>
      </c>
      <c r="G75" s="16">
        <f>(Central!G68*'Weighted 2'!$F$8)+(Step!G68*'Weighted 2'!$G$8)+(Slow!G68*'Weighted 2'!$H$8)</f>
        <v>0</v>
      </c>
      <c r="H75" s="16">
        <f>(Central!H68*'Weighted 2'!$F$8)+(Step!H68*'Weighted 2'!$G$8)+(Slow!H68*'Weighted 2'!$H$8)</f>
        <v>0</v>
      </c>
      <c r="I75" s="16">
        <f>(Central!I68*'Weighted 2'!$F$8)+(Step!I68*'Weighted 2'!$G$8)+(Slow!I68*'Weighted 2'!$H$8)</f>
        <v>0</v>
      </c>
      <c r="J75" s="16">
        <f>(Central!J68*'Weighted 2'!$F$8)+(Step!J68*'Weighted 2'!$G$8)+(Slow!J68*'Weighted 2'!$H$8)</f>
        <v>0</v>
      </c>
      <c r="K75" s="16">
        <f>(Central!K68*'Weighted 2'!$F$8)+(Step!K68*'Weighted 2'!$G$8)+(Slow!K68*'Weighted 2'!$H$8)</f>
        <v>-3030000</v>
      </c>
      <c r="L75" s="16">
        <f>(Central!L68*'Weighted 2'!$F$8)+(Step!L68*'Weighted 2'!$G$8)+(Slow!L68*'Weighted 2'!$H$8)</f>
        <v>-3030000</v>
      </c>
      <c r="M75" s="16">
        <f>(Central!M68*'Weighted 2'!$F$8)+(Step!M68*'Weighted 2'!$G$8)+(Slow!M68*'Weighted 2'!$H$8)</f>
        <v>-3030000</v>
      </c>
      <c r="N75" s="16">
        <f>(Central!N68*'Weighted 2'!$F$8)+(Step!N68*'Weighted 2'!$G$8)+(Slow!N68*'Weighted 2'!$H$8)</f>
        <v>-3030000</v>
      </c>
      <c r="O75" s="16">
        <f>(Central!O68*'Weighted 2'!$F$8)+(Step!O68*'Weighted 2'!$G$8)+(Slow!O68*'Weighted 2'!$H$8)</f>
        <v>-3030000</v>
      </c>
      <c r="P75" s="16">
        <f>(Central!P68*'Weighted 2'!$F$8)+(Step!P68*'Weighted 2'!$G$8)+(Slow!P68*'Weighted 2'!$H$8)</f>
        <v>-3030000</v>
      </c>
      <c r="Q75" s="16">
        <f>(Central!Q68*'Weighted 2'!$F$8)+(Step!Q68*'Weighted 2'!$G$8)+(Slow!Q68*'Weighted 2'!$H$8)</f>
        <v>-3030000</v>
      </c>
      <c r="R75" s="16">
        <f>(Central!R68*'Weighted 2'!$F$8)+(Step!R68*'Weighted 2'!$G$8)+(Slow!R68*'Weighted 2'!$H$8)</f>
        <v>-3030000</v>
      </c>
      <c r="S75" s="16">
        <f>(Central!S68*'Weighted 2'!$F$8)+(Step!S68*'Weighted 2'!$G$8)+(Slow!S68*'Weighted 2'!$H$8)</f>
        <v>-3030000</v>
      </c>
      <c r="T75" s="16">
        <f>(Central!T68*'Weighted 2'!$F$8)+(Step!T68*'Weighted 2'!$G$8)+(Slow!T68*'Weighted 2'!$H$8)</f>
        <v>-3030000</v>
      </c>
      <c r="U75" s="16">
        <f>(Central!U68*'Weighted 2'!$F$8)+(Step!U68*'Weighted 2'!$G$8)+(Slow!U68*'Weighted 2'!$H$8)</f>
        <v>-3030000</v>
      </c>
      <c r="V75" s="16">
        <f>(Central!V68*'Weighted 2'!$F$8)+(Step!V68*'Weighted 2'!$G$8)+(Slow!V68*'Weighted 2'!$H$8)</f>
        <v>-3030000</v>
      </c>
      <c r="W75" s="16">
        <f>(Central!W68*'Weighted 2'!$F$8)+(Step!W68*'Weighted 2'!$G$8)+(Slow!W68*'Weighted 2'!$H$8)</f>
        <v>-3030000</v>
      </c>
      <c r="X75" s="16">
        <f>(Central!X68*'Weighted 2'!$F$8)+(Step!X68*'Weighted 2'!$G$8)+(Slow!X68*'Weighted 2'!$H$8)</f>
        <v>-3030000</v>
      </c>
      <c r="Y75" s="16">
        <f>(Central!Y68*'Weighted 2'!$F$8)+(Step!Y68*'Weighted 2'!$G$8)+(Slow!Y68*'Weighted 2'!$H$8)</f>
        <v>-3030000</v>
      </c>
      <c r="Z75" s="16">
        <f>(Central!Z68*'Weighted 2'!$F$8)+(Step!Z68*'Weighted 2'!$G$8)+(Slow!Z68*'Weighted 2'!$H$8)</f>
        <v>-3030000</v>
      </c>
      <c r="AA75" s="16">
        <f>(Central!AA68*'Weighted 2'!$F$8)+(Step!AA68*'Weighted 2'!$G$8)+(Slow!AA68*'Weighted 2'!$H$8)</f>
        <v>-3030000</v>
      </c>
      <c r="AB75" s="16">
        <f>(Central!AB68*'Weighted 2'!$F$8)+(Step!AB68*'Weighted 2'!$G$8)+(Slow!AB68*'Weighted 2'!$H$8)</f>
        <v>-3030000</v>
      </c>
      <c r="AC75" s="16">
        <f>(Central!AC68*'Weighted 2'!$F$8)+(Step!AC68*'Weighted 2'!$G$8)+(Slow!AC68*'Weighted 2'!$H$8)</f>
        <v>-3030000</v>
      </c>
      <c r="AD75" s="16">
        <f>(Central!AD68*'Weighted 2'!$F$8)+(Step!AD68*'Weighted 2'!$G$8)+(Slow!AD68*'Weighted 2'!$H$8)</f>
        <v>-3030000</v>
      </c>
      <c r="AE75" s="16">
        <f>(Central!AE68*'Weighted 2'!$F$8)+(Step!AE68*'Weighted 2'!$G$8)+(Slow!AE68*'Weighted 2'!$H$8)</f>
        <v>-3030000</v>
      </c>
      <c r="AF75" s="16">
        <f>(Central!AF68*'Weighted 2'!$F$8)+(Step!AF68*'Weighted 2'!$G$8)+(Slow!AF68*'Weighted 2'!$H$8)</f>
        <v>-3030000</v>
      </c>
    </row>
    <row r="76" spans="1:32" x14ac:dyDescent="0.2">
      <c r="B76" s="172">
        <f>+'Option inputs'!$B$17</f>
        <v>3</v>
      </c>
      <c r="C76" s="13" t="str">
        <f>+'Option inputs'!$C$17</f>
        <v>Option 2</v>
      </c>
      <c r="D76" s="164"/>
      <c r="E76" s="173" t="s">
        <v>35</v>
      </c>
      <c r="F76" s="17">
        <f>Central!F69*'Weighted 2'!$F$8+Step!F69*'Weighted 2'!$G$8+Slow!F69*'Weighted 2'!$H$8</f>
        <v>-37955732.735147744</v>
      </c>
      <c r="G76" s="16">
        <f>(Central!G69*'Weighted 2'!$F$8)+(Step!G69*'Weighted 2'!$G$8)+(Slow!G69*'Weighted 2'!$H$8)</f>
        <v>0</v>
      </c>
      <c r="H76" s="16">
        <f>(Central!H69*'Weighted 2'!$F$8)+(Step!H69*'Weighted 2'!$G$8)+(Slow!H69*'Weighted 2'!$H$8)</f>
        <v>0</v>
      </c>
      <c r="I76" s="16">
        <f>(Central!I69*'Weighted 2'!$F$8)+(Step!I69*'Weighted 2'!$G$8)+(Slow!I69*'Weighted 2'!$H$8)</f>
        <v>0</v>
      </c>
      <c r="J76" s="16">
        <f>(Central!J69*'Weighted 2'!$F$8)+(Step!J69*'Weighted 2'!$G$8)+(Slow!J69*'Weighted 2'!$H$8)</f>
        <v>0</v>
      </c>
      <c r="K76" s="16">
        <f>(Central!K69*'Weighted 2'!$F$8)+(Step!K69*'Weighted 2'!$G$8)+(Slow!K69*'Weighted 2'!$H$8)</f>
        <v>-3930000</v>
      </c>
      <c r="L76" s="16">
        <f>(Central!L69*'Weighted 2'!$F$8)+(Step!L69*'Weighted 2'!$G$8)+(Slow!L69*'Weighted 2'!$H$8)</f>
        <v>-3930000</v>
      </c>
      <c r="M76" s="16">
        <f>(Central!M69*'Weighted 2'!$F$8)+(Step!M69*'Weighted 2'!$G$8)+(Slow!M69*'Weighted 2'!$H$8)</f>
        <v>-3930000</v>
      </c>
      <c r="N76" s="16">
        <f>(Central!N69*'Weighted 2'!$F$8)+(Step!N69*'Weighted 2'!$G$8)+(Slow!N69*'Weighted 2'!$H$8)</f>
        <v>-3930000</v>
      </c>
      <c r="O76" s="16">
        <f>(Central!O69*'Weighted 2'!$F$8)+(Step!O69*'Weighted 2'!$G$8)+(Slow!O69*'Weighted 2'!$H$8)</f>
        <v>-3930000</v>
      </c>
      <c r="P76" s="16">
        <f>(Central!P69*'Weighted 2'!$F$8)+(Step!P69*'Weighted 2'!$G$8)+(Slow!P69*'Weighted 2'!$H$8)</f>
        <v>-3930000</v>
      </c>
      <c r="Q76" s="16">
        <f>(Central!Q69*'Weighted 2'!$F$8)+(Step!Q69*'Weighted 2'!$G$8)+(Slow!Q69*'Weighted 2'!$H$8)</f>
        <v>-3930000</v>
      </c>
      <c r="R76" s="16">
        <f>(Central!R69*'Weighted 2'!$F$8)+(Step!R69*'Weighted 2'!$G$8)+(Slow!R69*'Weighted 2'!$H$8)</f>
        <v>-3930000</v>
      </c>
      <c r="S76" s="16">
        <f>(Central!S69*'Weighted 2'!$F$8)+(Step!S69*'Weighted 2'!$G$8)+(Slow!S69*'Weighted 2'!$H$8)</f>
        <v>-3930000</v>
      </c>
      <c r="T76" s="16">
        <f>(Central!T69*'Weighted 2'!$F$8)+(Step!T69*'Weighted 2'!$G$8)+(Slow!T69*'Weighted 2'!$H$8)</f>
        <v>-3930000</v>
      </c>
      <c r="U76" s="16">
        <f>(Central!U69*'Weighted 2'!$F$8)+(Step!U69*'Weighted 2'!$G$8)+(Slow!U69*'Weighted 2'!$H$8)</f>
        <v>-3930000</v>
      </c>
      <c r="V76" s="16">
        <f>(Central!V69*'Weighted 2'!$F$8)+(Step!V69*'Weighted 2'!$G$8)+(Slow!V69*'Weighted 2'!$H$8)</f>
        <v>-3930000</v>
      </c>
      <c r="W76" s="16">
        <f>(Central!W69*'Weighted 2'!$F$8)+(Step!W69*'Weighted 2'!$G$8)+(Slow!W69*'Weighted 2'!$H$8)</f>
        <v>-3930000</v>
      </c>
      <c r="X76" s="16">
        <f>(Central!X69*'Weighted 2'!$F$8)+(Step!X69*'Weighted 2'!$G$8)+(Slow!X69*'Weighted 2'!$H$8)</f>
        <v>-3930000</v>
      </c>
      <c r="Y76" s="16">
        <f>(Central!Y69*'Weighted 2'!$F$8)+(Step!Y69*'Weighted 2'!$G$8)+(Slow!Y69*'Weighted 2'!$H$8)</f>
        <v>-3930000</v>
      </c>
      <c r="Z76" s="16">
        <f>(Central!Z69*'Weighted 2'!$F$8)+(Step!Z69*'Weighted 2'!$G$8)+(Slow!Z69*'Weighted 2'!$H$8)</f>
        <v>-3930000</v>
      </c>
      <c r="AA76" s="16">
        <f>(Central!AA69*'Weighted 2'!$F$8)+(Step!AA69*'Weighted 2'!$G$8)+(Slow!AA69*'Weighted 2'!$H$8)</f>
        <v>-3930000</v>
      </c>
      <c r="AB76" s="16">
        <f>(Central!AB69*'Weighted 2'!$F$8)+(Step!AB69*'Weighted 2'!$G$8)+(Slow!AB69*'Weighted 2'!$H$8)</f>
        <v>-3930000</v>
      </c>
      <c r="AC76" s="16">
        <f>(Central!AC69*'Weighted 2'!$F$8)+(Step!AC69*'Weighted 2'!$G$8)+(Slow!AC69*'Weighted 2'!$H$8)</f>
        <v>-3930000</v>
      </c>
      <c r="AD76" s="16">
        <f>(Central!AD69*'Weighted 2'!$F$8)+(Step!AD69*'Weighted 2'!$G$8)+(Slow!AD69*'Weighted 2'!$H$8)</f>
        <v>-3930000</v>
      </c>
      <c r="AE76" s="16">
        <f>(Central!AE69*'Weighted 2'!$F$8)+(Step!AE69*'Weighted 2'!$G$8)+(Slow!AE69*'Weighted 2'!$H$8)</f>
        <v>-3930000</v>
      </c>
      <c r="AF76" s="16">
        <f>(Central!AF69*'Weighted 2'!$F$8)+(Step!AF69*'Weighted 2'!$G$8)+(Slow!AF69*'Weighted 2'!$H$8)</f>
        <v>-3930000</v>
      </c>
    </row>
    <row r="77" spans="1:32" x14ac:dyDescent="0.2">
      <c r="B77" s="172">
        <f>+'Option inputs'!$B$18</f>
        <v>4</v>
      </c>
      <c r="C77" s="13" t="str">
        <f>+'Option inputs'!$C$18</f>
        <v>Option 3</v>
      </c>
      <c r="D77" s="164"/>
      <c r="E77" s="173" t="s">
        <v>35</v>
      </c>
      <c r="F77" s="17">
        <f>Central!F70*'Weighted 2'!$F$8+Step!F70*'Weighted 2'!$G$8+Slow!F70*'Weighted 2'!$H$8</f>
        <v>-5226518.5098549332</v>
      </c>
      <c r="G77" s="16">
        <f>(Central!G70*'Weighted 2'!$F$8)+(Step!G70*'Weighted 2'!$G$8)+(Slow!G70*'Weighted 2'!$H$8)</f>
        <v>0</v>
      </c>
      <c r="H77" s="16">
        <f>(Central!H70*'Weighted 2'!$F$8)+(Step!H70*'Weighted 2'!$G$8)+(Slow!H70*'Weighted 2'!$H$8)</f>
        <v>0</v>
      </c>
      <c r="I77" s="16">
        <f>(Central!I70*'Weighted 2'!$F$8)+(Step!I70*'Weighted 2'!$G$8)+(Slow!I70*'Weighted 2'!$H$8)</f>
        <v>0</v>
      </c>
      <c r="J77" s="16">
        <f>(Central!J70*'Weighted 2'!$F$8)+(Step!J70*'Weighted 2'!$G$8)+(Slow!J70*'Weighted 2'!$H$8)</f>
        <v>-500000</v>
      </c>
      <c r="K77" s="16">
        <f>(Central!K70*'Weighted 2'!$F$8)+(Step!K70*'Weighted 2'!$G$8)+(Slow!K70*'Weighted 2'!$H$8)</f>
        <v>-500000</v>
      </c>
      <c r="L77" s="16">
        <f>(Central!L70*'Weighted 2'!$F$8)+(Step!L70*'Weighted 2'!$G$8)+(Slow!L70*'Weighted 2'!$H$8)</f>
        <v>-500000</v>
      </c>
      <c r="M77" s="16">
        <f>(Central!M70*'Weighted 2'!$F$8)+(Step!M70*'Weighted 2'!$G$8)+(Slow!M70*'Weighted 2'!$H$8)</f>
        <v>-500000</v>
      </c>
      <c r="N77" s="16">
        <f>(Central!N70*'Weighted 2'!$F$8)+(Step!N70*'Weighted 2'!$G$8)+(Slow!N70*'Weighted 2'!$H$8)</f>
        <v>-500000</v>
      </c>
      <c r="O77" s="16">
        <f>(Central!O70*'Weighted 2'!$F$8)+(Step!O70*'Weighted 2'!$G$8)+(Slow!O70*'Weighted 2'!$H$8)</f>
        <v>-500000</v>
      </c>
      <c r="P77" s="16">
        <f>(Central!P70*'Weighted 2'!$F$8)+(Step!P70*'Weighted 2'!$G$8)+(Slow!P70*'Weighted 2'!$H$8)</f>
        <v>-500000</v>
      </c>
      <c r="Q77" s="16">
        <f>(Central!Q70*'Weighted 2'!$F$8)+(Step!Q70*'Weighted 2'!$G$8)+(Slow!Q70*'Weighted 2'!$H$8)</f>
        <v>-500000</v>
      </c>
      <c r="R77" s="16">
        <f>(Central!R70*'Weighted 2'!$F$8)+(Step!R70*'Weighted 2'!$G$8)+(Slow!R70*'Weighted 2'!$H$8)</f>
        <v>-500000</v>
      </c>
      <c r="S77" s="16">
        <f>(Central!S70*'Weighted 2'!$F$8)+(Step!S70*'Weighted 2'!$G$8)+(Slow!S70*'Weighted 2'!$H$8)</f>
        <v>-500000</v>
      </c>
      <c r="T77" s="16">
        <f>(Central!T70*'Weighted 2'!$F$8)+(Step!T70*'Weighted 2'!$G$8)+(Slow!T70*'Weighted 2'!$H$8)</f>
        <v>-500000</v>
      </c>
      <c r="U77" s="16">
        <f>(Central!U70*'Weighted 2'!$F$8)+(Step!U70*'Weighted 2'!$G$8)+(Slow!U70*'Weighted 2'!$H$8)</f>
        <v>-500000</v>
      </c>
      <c r="V77" s="16">
        <f>(Central!V70*'Weighted 2'!$F$8)+(Step!V70*'Weighted 2'!$G$8)+(Slow!V70*'Weighted 2'!$H$8)</f>
        <v>-500000</v>
      </c>
      <c r="W77" s="16">
        <f>(Central!W70*'Weighted 2'!$F$8)+(Step!W70*'Weighted 2'!$G$8)+(Slow!W70*'Weighted 2'!$H$8)</f>
        <v>-500000</v>
      </c>
      <c r="X77" s="16">
        <f>(Central!X70*'Weighted 2'!$F$8)+(Step!X70*'Weighted 2'!$G$8)+(Slow!X70*'Weighted 2'!$H$8)</f>
        <v>-500000</v>
      </c>
      <c r="Y77" s="16">
        <f>(Central!Y70*'Weighted 2'!$F$8)+(Step!Y70*'Weighted 2'!$G$8)+(Slow!Y70*'Weighted 2'!$H$8)</f>
        <v>-500000</v>
      </c>
      <c r="Z77" s="16">
        <f>(Central!Z70*'Weighted 2'!$F$8)+(Step!Z70*'Weighted 2'!$G$8)+(Slow!Z70*'Weighted 2'!$H$8)</f>
        <v>-500000</v>
      </c>
      <c r="AA77" s="16">
        <f>(Central!AA70*'Weighted 2'!$F$8)+(Step!AA70*'Weighted 2'!$G$8)+(Slow!AA70*'Weighted 2'!$H$8)</f>
        <v>-500000</v>
      </c>
      <c r="AB77" s="16">
        <f>(Central!AB70*'Weighted 2'!$F$8)+(Step!AB70*'Weighted 2'!$G$8)+(Slow!AB70*'Weighted 2'!$H$8)</f>
        <v>-500000</v>
      </c>
      <c r="AC77" s="16">
        <f>(Central!AC70*'Weighted 2'!$F$8)+(Step!AC70*'Weighted 2'!$G$8)+(Slow!AC70*'Weighted 2'!$H$8)</f>
        <v>-500000</v>
      </c>
      <c r="AD77" s="16">
        <f>(Central!AD70*'Weighted 2'!$F$8)+(Step!AD70*'Weighted 2'!$G$8)+(Slow!AD70*'Weighted 2'!$H$8)</f>
        <v>-500000</v>
      </c>
      <c r="AE77" s="16">
        <f>(Central!AE70*'Weighted 2'!$F$8)+(Step!AE70*'Weighted 2'!$G$8)+(Slow!AE70*'Weighted 2'!$H$8)</f>
        <v>-500000</v>
      </c>
      <c r="AF77" s="16">
        <f>(Central!AF70*'Weighted 2'!$F$8)+(Step!AF70*'Weighted 2'!$G$8)+(Slow!AF70*'Weighted 2'!$H$8)</f>
        <v>-500000</v>
      </c>
    </row>
    <row r="78" spans="1:32" x14ac:dyDescent="0.2">
      <c r="B78" s="172">
        <f>+'Option inputs'!$B$19</f>
        <v>5</v>
      </c>
      <c r="C78" s="13" t="str">
        <f>+'Option inputs'!$C$19</f>
        <v>Option 4</v>
      </c>
      <c r="D78" s="164"/>
      <c r="E78" s="173" t="s">
        <v>35</v>
      </c>
      <c r="F78" s="17">
        <f>Central!F71*'Weighted 2'!$F$8+Step!F71*'Weighted 2'!$G$8+Slow!F71*'Weighted 2'!$H$8</f>
        <v>0</v>
      </c>
      <c r="G78" s="16" t="e">
        <f>(Central!G71*'Weighted 2'!$F$8)+(Step!G71*'Weighted 2'!$G$8)+(Slow!G71*'Weighted 2'!$H$8)</f>
        <v>#VALUE!</v>
      </c>
      <c r="H78" s="16">
        <f>(Central!H71*'Weighted 2'!$F$8)+(Step!H71*'Weighted 2'!$G$8)+(Slow!H71*'Weighted 2'!$H$8)</f>
        <v>0</v>
      </c>
      <c r="I78" s="16">
        <f>(Central!I71*'Weighted 2'!$F$8)+(Step!I71*'Weighted 2'!$G$8)+(Slow!I71*'Weighted 2'!$H$8)</f>
        <v>0</v>
      </c>
      <c r="J78" s="16">
        <f>(Central!J71*'Weighted 2'!$F$8)+(Step!J71*'Weighted 2'!$G$8)+(Slow!J71*'Weighted 2'!$H$8)</f>
        <v>0</v>
      </c>
      <c r="K78" s="16">
        <f>(Central!K71*'Weighted 2'!$F$8)+(Step!K71*'Weighted 2'!$G$8)+(Slow!K71*'Weighted 2'!$H$8)</f>
        <v>0</v>
      </c>
      <c r="L78" s="16">
        <f>(Central!L71*'Weighted 2'!$F$8)+(Step!L71*'Weighted 2'!$G$8)+(Slow!L71*'Weighted 2'!$H$8)</f>
        <v>0</v>
      </c>
      <c r="M78" s="16">
        <f>(Central!M71*'Weighted 2'!$F$8)+(Step!M71*'Weighted 2'!$G$8)+(Slow!M71*'Weighted 2'!$H$8)</f>
        <v>0</v>
      </c>
      <c r="N78" s="16">
        <f>(Central!N71*'Weighted 2'!$F$8)+(Step!N71*'Weighted 2'!$G$8)+(Slow!N71*'Weighted 2'!$H$8)</f>
        <v>0</v>
      </c>
      <c r="O78" s="16">
        <f>(Central!O71*'Weighted 2'!$F$8)+(Step!O71*'Weighted 2'!$G$8)+(Slow!O71*'Weighted 2'!$H$8)</f>
        <v>0</v>
      </c>
      <c r="P78" s="16">
        <f>(Central!P71*'Weighted 2'!$F$8)+(Step!P71*'Weighted 2'!$G$8)+(Slow!P71*'Weighted 2'!$H$8)</f>
        <v>0</v>
      </c>
      <c r="Q78" s="16">
        <f>(Central!Q71*'Weighted 2'!$F$8)+(Step!Q71*'Weighted 2'!$G$8)+(Slow!Q71*'Weighted 2'!$H$8)</f>
        <v>0</v>
      </c>
      <c r="R78" s="16">
        <f>(Central!R71*'Weighted 2'!$F$8)+(Step!R71*'Weighted 2'!$G$8)+(Slow!R71*'Weighted 2'!$H$8)</f>
        <v>0</v>
      </c>
      <c r="S78" s="16">
        <f>(Central!S71*'Weighted 2'!$F$8)+(Step!S71*'Weighted 2'!$G$8)+(Slow!S71*'Weighted 2'!$H$8)</f>
        <v>0</v>
      </c>
      <c r="T78" s="16">
        <f>(Central!T71*'Weighted 2'!$F$8)+(Step!T71*'Weighted 2'!$G$8)+(Slow!T71*'Weighted 2'!$H$8)</f>
        <v>0</v>
      </c>
      <c r="U78" s="16">
        <f>(Central!U71*'Weighted 2'!$F$8)+(Step!U71*'Weighted 2'!$G$8)+(Slow!U71*'Weighted 2'!$H$8)</f>
        <v>0</v>
      </c>
      <c r="V78" s="16">
        <f>(Central!V71*'Weighted 2'!$F$8)+(Step!V71*'Weighted 2'!$G$8)+(Slow!V71*'Weighted 2'!$H$8)</f>
        <v>0</v>
      </c>
      <c r="W78" s="16">
        <f>(Central!W71*'Weighted 2'!$F$8)+(Step!W71*'Weighted 2'!$G$8)+(Slow!W71*'Weighted 2'!$H$8)</f>
        <v>0</v>
      </c>
      <c r="X78" s="16">
        <f>(Central!X71*'Weighted 2'!$F$8)+(Step!X71*'Weighted 2'!$G$8)+(Slow!X71*'Weighted 2'!$H$8)</f>
        <v>0</v>
      </c>
      <c r="Y78" s="16">
        <f>(Central!Y71*'Weighted 2'!$F$8)+(Step!Y71*'Weighted 2'!$G$8)+(Slow!Y71*'Weighted 2'!$H$8)</f>
        <v>0</v>
      </c>
      <c r="Z78" s="16">
        <f>(Central!Z71*'Weighted 2'!$F$8)+(Step!Z71*'Weighted 2'!$G$8)+(Slow!Z71*'Weighted 2'!$H$8)</f>
        <v>0</v>
      </c>
      <c r="AA78" s="16">
        <f>(Central!AA71*'Weighted 2'!$F$8)+(Step!AA71*'Weighted 2'!$G$8)+(Slow!AA71*'Weighted 2'!$H$8)</f>
        <v>0</v>
      </c>
      <c r="AB78" s="16">
        <f>(Central!AB71*'Weighted 2'!$F$8)+(Step!AB71*'Weighted 2'!$G$8)+(Slow!AB71*'Weighted 2'!$H$8)</f>
        <v>0</v>
      </c>
      <c r="AC78" s="16">
        <f>(Central!AC71*'Weighted 2'!$F$8)+(Step!AC71*'Weighted 2'!$G$8)+(Slow!AC71*'Weighted 2'!$H$8)</f>
        <v>0</v>
      </c>
      <c r="AD78" s="16">
        <f>(Central!AD71*'Weighted 2'!$F$8)+(Step!AD71*'Weighted 2'!$G$8)+(Slow!AD71*'Weighted 2'!$H$8)</f>
        <v>0</v>
      </c>
      <c r="AE78" s="16">
        <f>(Central!AE71*'Weighted 2'!$F$8)+(Step!AE71*'Weighted 2'!$G$8)+(Slow!AE71*'Weighted 2'!$H$8)</f>
        <v>0</v>
      </c>
      <c r="AF78" s="16">
        <f>(Central!AF71*'Weighted 2'!$F$8)+(Step!AF71*'Weighted 2'!$G$8)+(Slow!AF71*'Weighted 2'!$H$8)</f>
        <v>0</v>
      </c>
    </row>
    <row r="79" spans="1:32" x14ac:dyDescent="0.2">
      <c r="B79" s="172">
        <f>+'Option inputs'!$B$20</f>
        <v>6</v>
      </c>
      <c r="C79" s="13" t="str">
        <f>+'Option inputs'!$C$20</f>
        <v>Option 5</v>
      </c>
      <c r="D79" s="164"/>
      <c r="E79" s="173" t="s">
        <v>35</v>
      </c>
      <c r="F79" s="17">
        <f>Central!F72*'Weighted 2'!$F$8+Step!F72*'Weighted 2'!$G$8+Slow!F72*'Weighted 2'!$H$8</f>
        <v>0</v>
      </c>
      <c r="G79" s="16" t="e">
        <f>(Central!G72*'Weighted 2'!$F$8)+(Step!G72*'Weighted 2'!$G$8)+(Slow!G72*'Weighted 2'!$H$8)</f>
        <v>#VALUE!</v>
      </c>
      <c r="H79" s="16">
        <f>(Central!H72*'Weighted 2'!$F$8)+(Step!H72*'Weighted 2'!$G$8)+(Slow!H72*'Weighted 2'!$H$8)</f>
        <v>0</v>
      </c>
      <c r="I79" s="16">
        <f>(Central!I72*'Weighted 2'!$F$8)+(Step!I72*'Weighted 2'!$G$8)+(Slow!I72*'Weighted 2'!$H$8)</f>
        <v>0</v>
      </c>
      <c r="J79" s="16">
        <f>(Central!J72*'Weighted 2'!$F$8)+(Step!J72*'Weighted 2'!$G$8)+(Slow!J72*'Weighted 2'!$H$8)</f>
        <v>0</v>
      </c>
      <c r="K79" s="16">
        <f>(Central!K72*'Weighted 2'!$F$8)+(Step!K72*'Weighted 2'!$G$8)+(Slow!K72*'Weighted 2'!$H$8)</f>
        <v>0</v>
      </c>
      <c r="L79" s="16">
        <f>(Central!L72*'Weighted 2'!$F$8)+(Step!L72*'Weighted 2'!$G$8)+(Slow!L72*'Weighted 2'!$H$8)</f>
        <v>0</v>
      </c>
      <c r="M79" s="16">
        <f>(Central!M72*'Weighted 2'!$F$8)+(Step!M72*'Weighted 2'!$G$8)+(Slow!M72*'Weighted 2'!$H$8)</f>
        <v>0</v>
      </c>
      <c r="N79" s="16">
        <f>(Central!N72*'Weighted 2'!$F$8)+(Step!N72*'Weighted 2'!$G$8)+(Slow!N72*'Weighted 2'!$H$8)</f>
        <v>0</v>
      </c>
      <c r="O79" s="16">
        <f>(Central!O72*'Weighted 2'!$F$8)+(Step!O72*'Weighted 2'!$G$8)+(Slow!O72*'Weighted 2'!$H$8)</f>
        <v>0</v>
      </c>
      <c r="P79" s="16">
        <f>(Central!P72*'Weighted 2'!$F$8)+(Step!P72*'Weighted 2'!$G$8)+(Slow!P72*'Weighted 2'!$H$8)</f>
        <v>0</v>
      </c>
      <c r="Q79" s="16">
        <f>(Central!Q72*'Weighted 2'!$F$8)+(Step!Q72*'Weighted 2'!$G$8)+(Slow!Q72*'Weighted 2'!$H$8)</f>
        <v>0</v>
      </c>
      <c r="R79" s="16">
        <f>(Central!R72*'Weighted 2'!$F$8)+(Step!R72*'Weighted 2'!$G$8)+(Slow!R72*'Weighted 2'!$H$8)</f>
        <v>0</v>
      </c>
      <c r="S79" s="16">
        <f>(Central!S72*'Weighted 2'!$F$8)+(Step!S72*'Weighted 2'!$G$8)+(Slow!S72*'Weighted 2'!$H$8)</f>
        <v>0</v>
      </c>
      <c r="T79" s="16">
        <f>(Central!T72*'Weighted 2'!$F$8)+(Step!T72*'Weighted 2'!$G$8)+(Slow!T72*'Weighted 2'!$H$8)</f>
        <v>0</v>
      </c>
      <c r="U79" s="16">
        <f>(Central!U72*'Weighted 2'!$F$8)+(Step!U72*'Weighted 2'!$G$8)+(Slow!U72*'Weighted 2'!$H$8)</f>
        <v>0</v>
      </c>
      <c r="V79" s="16">
        <f>(Central!V72*'Weighted 2'!$F$8)+(Step!V72*'Weighted 2'!$G$8)+(Slow!V72*'Weighted 2'!$H$8)</f>
        <v>0</v>
      </c>
      <c r="W79" s="16">
        <f>(Central!W72*'Weighted 2'!$F$8)+(Step!W72*'Weighted 2'!$G$8)+(Slow!W72*'Weighted 2'!$H$8)</f>
        <v>0</v>
      </c>
      <c r="X79" s="16">
        <f>(Central!X72*'Weighted 2'!$F$8)+(Step!X72*'Weighted 2'!$G$8)+(Slow!X72*'Weighted 2'!$H$8)</f>
        <v>0</v>
      </c>
      <c r="Y79" s="16">
        <f>(Central!Y72*'Weighted 2'!$F$8)+(Step!Y72*'Weighted 2'!$G$8)+(Slow!Y72*'Weighted 2'!$H$8)</f>
        <v>0</v>
      </c>
      <c r="Z79" s="16">
        <f>(Central!Z72*'Weighted 2'!$F$8)+(Step!Z72*'Weighted 2'!$G$8)+(Slow!Z72*'Weighted 2'!$H$8)</f>
        <v>0</v>
      </c>
      <c r="AA79" s="16">
        <f>(Central!AA72*'Weighted 2'!$F$8)+(Step!AA72*'Weighted 2'!$G$8)+(Slow!AA72*'Weighted 2'!$H$8)</f>
        <v>0</v>
      </c>
      <c r="AB79" s="16">
        <f>(Central!AB72*'Weighted 2'!$F$8)+(Step!AB72*'Weighted 2'!$G$8)+(Slow!AB72*'Weighted 2'!$H$8)</f>
        <v>0</v>
      </c>
      <c r="AC79" s="16">
        <f>(Central!AC72*'Weighted 2'!$F$8)+(Step!AC72*'Weighted 2'!$G$8)+(Slow!AC72*'Weighted 2'!$H$8)</f>
        <v>0</v>
      </c>
      <c r="AD79" s="16">
        <f>(Central!AD72*'Weighted 2'!$F$8)+(Step!AD72*'Weighted 2'!$G$8)+(Slow!AD72*'Weighted 2'!$H$8)</f>
        <v>0</v>
      </c>
      <c r="AE79" s="16">
        <f>(Central!AE72*'Weighted 2'!$F$8)+(Step!AE72*'Weighted 2'!$G$8)+(Slow!AE72*'Weighted 2'!$H$8)</f>
        <v>0</v>
      </c>
      <c r="AF79" s="16">
        <f>(Central!AF72*'Weighted 2'!$F$8)+(Step!AF72*'Weighted 2'!$G$8)+(Slow!AF72*'Weighted 2'!$H$8)</f>
        <v>0</v>
      </c>
    </row>
    <row r="80" spans="1:32" x14ac:dyDescent="0.2">
      <c r="B80" s="172" t="e">
        <f>+'Option inputs'!#REF!</f>
        <v>#REF!</v>
      </c>
      <c r="C80" s="13" t="e">
        <f>+'Option inputs'!#REF!</f>
        <v>#REF!</v>
      </c>
      <c r="D80" s="164"/>
      <c r="E80" s="173" t="s">
        <v>35</v>
      </c>
      <c r="F80" s="17" t="e">
        <f>Central!#REF!*'Weighted 2'!$F$8+Step!#REF!*'Weighted 2'!$G$8+Slow!#REF!*'Weighted 2'!$H$8</f>
        <v>#REF!</v>
      </c>
      <c r="G80" s="16" t="e">
        <f>(Central!#REF!*'Weighted 2'!$F$8)+(Step!#REF!*'Weighted 2'!$G$8)+(Slow!#REF!*'Weighted 2'!$H$8)</f>
        <v>#REF!</v>
      </c>
      <c r="H80" s="16" t="e">
        <f>(Central!#REF!*'Weighted 2'!$F$8)+(Step!#REF!*'Weighted 2'!$G$8)+(Slow!#REF!*'Weighted 2'!$H$8)</f>
        <v>#REF!</v>
      </c>
      <c r="I80" s="16" t="e">
        <f>(Central!#REF!*'Weighted 2'!$F$8)+(Step!#REF!*'Weighted 2'!$G$8)+(Slow!#REF!*'Weighted 2'!$H$8)</f>
        <v>#REF!</v>
      </c>
      <c r="J80" s="16" t="e">
        <f>(Central!#REF!*'Weighted 2'!$F$8)+(Step!#REF!*'Weighted 2'!$G$8)+(Slow!#REF!*'Weighted 2'!$H$8)</f>
        <v>#REF!</v>
      </c>
      <c r="K80" s="16" t="e">
        <f>(Central!#REF!*'Weighted 2'!$F$8)+(Step!#REF!*'Weighted 2'!$G$8)+(Slow!#REF!*'Weighted 2'!$H$8)</f>
        <v>#REF!</v>
      </c>
      <c r="L80" s="16" t="e">
        <f>(Central!#REF!*'Weighted 2'!$F$8)+(Step!#REF!*'Weighted 2'!$G$8)+(Slow!#REF!*'Weighted 2'!$H$8)</f>
        <v>#REF!</v>
      </c>
      <c r="M80" s="16" t="e">
        <f>(Central!#REF!*'Weighted 2'!$F$8)+(Step!#REF!*'Weighted 2'!$G$8)+(Slow!#REF!*'Weighted 2'!$H$8)</f>
        <v>#REF!</v>
      </c>
      <c r="N80" s="16" t="e">
        <f>(Central!#REF!*'Weighted 2'!$F$8)+(Step!#REF!*'Weighted 2'!$G$8)+(Slow!#REF!*'Weighted 2'!$H$8)</f>
        <v>#REF!</v>
      </c>
      <c r="O80" s="16" t="e">
        <f>(Central!#REF!*'Weighted 2'!$F$8)+(Step!#REF!*'Weighted 2'!$G$8)+(Slow!#REF!*'Weighted 2'!$H$8)</f>
        <v>#REF!</v>
      </c>
      <c r="P80" s="16" t="e">
        <f>(Central!#REF!*'Weighted 2'!$F$8)+(Step!#REF!*'Weighted 2'!$G$8)+(Slow!#REF!*'Weighted 2'!$H$8)</f>
        <v>#REF!</v>
      </c>
      <c r="Q80" s="16" t="e">
        <f>(Central!#REF!*'Weighted 2'!$F$8)+(Step!#REF!*'Weighted 2'!$G$8)+(Slow!#REF!*'Weighted 2'!$H$8)</f>
        <v>#REF!</v>
      </c>
      <c r="R80" s="16" t="e">
        <f>(Central!#REF!*'Weighted 2'!$F$8)+(Step!#REF!*'Weighted 2'!$G$8)+(Slow!#REF!*'Weighted 2'!$H$8)</f>
        <v>#REF!</v>
      </c>
      <c r="S80" s="16" t="e">
        <f>(Central!#REF!*'Weighted 2'!$F$8)+(Step!#REF!*'Weighted 2'!$G$8)+(Slow!#REF!*'Weighted 2'!$H$8)</f>
        <v>#REF!</v>
      </c>
      <c r="T80" s="16" t="e">
        <f>(Central!#REF!*'Weighted 2'!$F$8)+(Step!#REF!*'Weighted 2'!$G$8)+(Slow!#REF!*'Weighted 2'!$H$8)</f>
        <v>#REF!</v>
      </c>
      <c r="U80" s="16" t="e">
        <f>(Central!#REF!*'Weighted 2'!$F$8)+(Step!#REF!*'Weighted 2'!$G$8)+(Slow!#REF!*'Weighted 2'!$H$8)</f>
        <v>#REF!</v>
      </c>
      <c r="V80" s="16" t="e">
        <f>(Central!#REF!*'Weighted 2'!$F$8)+(Step!#REF!*'Weighted 2'!$G$8)+(Slow!#REF!*'Weighted 2'!$H$8)</f>
        <v>#REF!</v>
      </c>
      <c r="W80" s="16" t="e">
        <f>(Central!#REF!*'Weighted 2'!$F$8)+(Step!#REF!*'Weighted 2'!$G$8)+(Slow!#REF!*'Weighted 2'!$H$8)</f>
        <v>#REF!</v>
      </c>
      <c r="X80" s="16" t="e">
        <f>(Central!#REF!*'Weighted 2'!$F$8)+(Step!#REF!*'Weighted 2'!$G$8)+(Slow!#REF!*'Weighted 2'!$H$8)</f>
        <v>#REF!</v>
      </c>
      <c r="Y80" s="16" t="e">
        <f>(Central!#REF!*'Weighted 2'!$F$8)+(Step!#REF!*'Weighted 2'!$G$8)+(Slow!#REF!*'Weighted 2'!$H$8)</f>
        <v>#REF!</v>
      </c>
      <c r="Z80" s="16" t="e">
        <f>(Central!#REF!*'Weighted 2'!$F$8)+(Step!#REF!*'Weighted 2'!$G$8)+(Slow!#REF!*'Weighted 2'!$H$8)</f>
        <v>#REF!</v>
      </c>
      <c r="AA80" s="16" t="e">
        <f>(Central!#REF!*'Weighted 2'!$F$8)+(Step!#REF!*'Weighted 2'!$G$8)+(Slow!#REF!*'Weighted 2'!$H$8)</f>
        <v>#REF!</v>
      </c>
      <c r="AB80" s="16" t="e">
        <f>(Central!#REF!*'Weighted 2'!$F$8)+(Step!#REF!*'Weighted 2'!$G$8)+(Slow!#REF!*'Weighted 2'!$H$8)</f>
        <v>#REF!</v>
      </c>
      <c r="AC80" s="16" t="e">
        <f>(Central!#REF!*'Weighted 2'!$F$8)+(Step!#REF!*'Weighted 2'!$G$8)+(Slow!#REF!*'Weighted 2'!$H$8)</f>
        <v>#REF!</v>
      </c>
      <c r="AD80" s="16" t="e">
        <f>(Central!#REF!*'Weighted 2'!$F$8)+(Step!#REF!*'Weighted 2'!$G$8)+(Slow!#REF!*'Weighted 2'!$H$8)</f>
        <v>#REF!</v>
      </c>
      <c r="AE80" s="16" t="e">
        <f>(Central!#REF!*'Weighted 2'!$F$8)+(Step!#REF!*'Weighted 2'!$G$8)+(Slow!#REF!*'Weighted 2'!$H$8)</f>
        <v>#REF!</v>
      </c>
      <c r="AF80" s="16" t="e">
        <f>(Central!#REF!*'Weighted 2'!$F$8)+(Step!#REF!*'Weighted 2'!$G$8)+(Slow!#REF!*'Weighted 2'!$H$8)</f>
        <v>#REF!</v>
      </c>
    </row>
    <row r="81" spans="1:32" x14ac:dyDescent="0.2">
      <c r="B81" s="172" t="e">
        <f>+'Option inputs'!#REF!</f>
        <v>#REF!</v>
      </c>
      <c r="C81" s="13" t="e">
        <f>+'Option inputs'!#REF!</f>
        <v>#REF!</v>
      </c>
      <c r="D81" s="164"/>
      <c r="E81" s="173" t="s">
        <v>35</v>
      </c>
      <c r="F81" s="17" t="e">
        <f>Central!#REF!*'Weighted 2'!$F$8+Step!#REF!*'Weighted 2'!$G$8+Slow!#REF!*'Weighted 2'!$H$8</f>
        <v>#REF!</v>
      </c>
      <c r="G81" s="16" t="e">
        <f>(Central!#REF!*'Weighted 2'!$F$8)+(Step!#REF!*'Weighted 2'!$G$8)+(Slow!#REF!*'Weighted 2'!$H$8)</f>
        <v>#REF!</v>
      </c>
      <c r="H81" s="16" t="e">
        <f>(Central!#REF!*'Weighted 2'!$F$8)+(Step!#REF!*'Weighted 2'!$G$8)+(Slow!#REF!*'Weighted 2'!$H$8)</f>
        <v>#REF!</v>
      </c>
      <c r="I81" s="16" t="e">
        <f>(Central!#REF!*'Weighted 2'!$F$8)+(Step!#REF!*'Weighted 2'!$G$8)+(Slow!#REF!*'Weighted 2'!$H$8)</f>
        <v>#REF!</v>
      </c>
      <c r="J81" s="16" t="e">
        <f>(Central!#REF!*'Weighted 2'!$F$8)+(Step!#REF!*'Weighted 2'!$G$8)+(Slow!#REF!*'Weighted 2'!$H$8)</f>
        <v>#REF!</v>
      </c>
      <c r="K81" s="16" t="e">
        <f>(Central!#REF!*'Weighted 2'!$F$8)+(Step!#REF!*'Weighted 2'!$G$8)+(Slow!#REF!*'Weighted 2'!$H$8)</f>
        <v>#REF!</v>
      </c>
      <c r="L81" s="16" t="e">
        <f>(Central!#REF!*'Weighted 2'!$F$8)+(Step!#REF!*'Weighted 2'!$G$8)+(Slow!#REF!*'Weighted 2'!$H$8)</f>
        <v>#REF!</v>
      </c>
      <c r="M81" s="16" t="e">
        <f>(Central!#REF!*'Weighted 2'!$F$8)+(Step!#REF!*'Weighted 2'!$G$8)+(Slow!#REF!*'Weighted 2'!$H$8)</f>
        <v>#REF!</v>
      </c>
      <c r="N81" s="16" t="e">
        <f>(Central!#REF!*'Weighted 2'!$F$8)+(Step!#REF!*'Weighted 2'!$G$8)+(Slow!#REF!*'Weighted 2'!$H$8)</f>
        <v>#REF!</v>
      </c>
      <c r="O81" s="16" t="e">
        <f>(Central!#REF!*'Weighted 2'!$F$8)+(Step!#REF!*'Weighted 2'!$G$8)+(Slow!#REF!*'Weighted 2'!$H$8)</f>
        <v>#REF!</v>
      </c>
      <c r="P81" s="16" t="e">
        <f>(Central!#REF!*'Weighted 2'!$F$8)+(Step!#REF!*'Weighted 2'!$G$8)+(Slow!#REF!*'Weighted 2'!$H$8)</f>
        <v>#REF!</v>
      </c>
      <c r="Q81" s="16" t="e">
        <f>(Central!#REF!*'Weighted 2'!$F$8)+(Step!#REF!*'Weighted 2'!$G$8)+(Slow!#REF!*'Weighted 2'!$H$8)</f>
        <v>#REF!</v>
      </c>
      <c r="R81" s="16" t="e">
        <f>(Central!#REF!*'Weighted 2'!$F$8)+(Step!#REF!*'Weighted 2'!$G$8)+(Slow!#REF!*'Weighted 2'!$H$8)</f>
        <v>#REF!</v>
      </c>
      <c r="S81" s="16" t="e">
        <f>(Central!#REF!*'Weighted 2'!$F$8)+(Step!#REF!*'Weighted 2'!$G$8)+(Slow!#REF!*'Weighted 2'!$H$8)</f>
        <v>#REF!</v>
      </c>
      <c r="T81" s="16" t="e">
        <f>(Central!#REF!*'Weighted 2'!$F$8)+(Step!#REF!*'Weighted 2'!$G$8)+(Slow!#REF!*'Weighted 2'!$H$8)</f>
        <v>#REF!</v>
      </c>
      <c r="U81" s="16" t="e">
        <f>(Central!#REF!*'Weighted 2'!$F$8)+(Step!#REF!*'Weighted 2'!$G$8)+(Slow!#REF!*'Weighted 2'!$H$8)</f>
        <v>#REF!</v>
      </c>
      <c r="V81" s="16" t="e">
        <f>(Central!#REF!*'Weighted 2'!$F$8)+(Step!#REF!*'Weighted 2'!$G$8)+(Slow!#REF!*'Weighted 2'!$H$8)</f>
        <v>#REF!</v>
      </c>
      <c r="W81" s="16" t="e">
        <f>(Central!#REF!*'Weighted 2'!$F$8)+(Step!#REF!*'Weighted 2'!$G$8)+(Slow!#REF!*'Weighted 2'!$H$8)</f>
        <v>#REF!</v>
      </c>
      <c r="X81" s="16" t="e">
        <f>(Central!#REF!*'Weighted 2'!$F$8)+(Step!#REF!*'Weighted 2'!$G$8)+(Slow!#REF!*'Weighted 2'!$H$8)</f>
        <v>#REF!</v>
      </c>
      <c r="Y81" s="16" t="e">
        <f>(Central!#REF!*'Weighted 2'!$F$8)+(Step!#REF!*'Weighted 2'!$G$8)+(Slow!#REF!*'Weighted 2'!$H$8)</f>
        <v>#REF!</v>
      </c>
      <c r="Z81" s="16" t="e">
        <f>(Central!#REF!*'Weighted 2'!$F$8)+(Step!#REF!*'Weighted 2'!$G$8)+(Slow!#REF!*'Weighted 2'!$H$8)</f>
        <v>#REF!</v>
      </c>
      <c r="AA81" s="16" t="e">
        <f>(Central!#REF!*'Weighted 2'!$F$8)+(Step!#REF!*'Weighted 2'!$G$8)+(Slow!#REF!*'Weighted 2'!$H$8)</f>
        <v>#REF!</v>
      </c>
      <c r="AB81" s="16" t="e">
        <f>(Central!#REF!*'Weighted 2'!$F$8)+(Step!#REF!*'Weighted 2'!$G$8)+(Slow!#REF!*'Weighted 2'!$H$8)</f>
        <v>#REF!</v>
      </c>
      <c r="AC81" s="16" t="e">
        <f>(Central!#REF!*'Weighted 2'!$F$8)+(Step!#REF!*'Weighted 2'!$G$8)+(Slow!#REF!*'Weighted 2'!$H$8)</f>
        <v>#REF!</v>
      </c>
      <c r="AD81" s="16" t="e">
        <f>(Central!#REF!*'Weighted 2'!$F$8)+(Step!#REF!*'Weighted 2'!$G$8)+(Slow!#REF!*'Weighted 2'!$H$8)</f>
        <v>#REF!</v>
      </c>
      <c r="AE81" s="16" t="e">
        <f>(Central!#REF!*'Weighted 2'!$F$8)+(Step!#REF!*'Weighted 2'!$G$8)+(Slow!#REF!*'Weighted 2'!$H$8)</f>
        <v>#REF!</v>
      </c>
      <c r="AF81" s="16" t="e">
        <f>(Central!#REF!*'Weighted 2'!$F$8)+(Step!#REF!*'Weighted 2'!$G$8)+(Slow!#REF!*'Weighted 2'!$H$8)</f>
        <v>#REF!</v>
      </c>
    </row>
    <row r="82" spans="1:32" x14ac:dyDescent="0.2">
      <c r="B82" s="172" t="e">
        <f>+'Option inputs'!#REF!</f>
        <v>#REF!</v>
      </c>
      <c r="C82" s="13" t="e">
        <f>+'Option inputs'!#REF!</f>
        <v>#REF!</v>
      </c>
      <c r="D82" s="164"/>
      <c r="E82" s="173" t="s">
        <v>35</v>
      </c>
      <c r="F82" s="17" t="e">
        <f>Central!#REF!*'Weighted 2'!$F$8+Step!#REF!*'Weighted 2'!$G$8+Slow!#REF!*'Weighted 2'!$H$8</f>
        <v>#REF!</v>
      </c>
      <c r="G82" s="16" t="e">
        <f>(Central!#REF!*'Weighted 2'!$F$8)+(Step!#REF!*'Weighted 2'!$G$8)+(Slow!#REF!*'Weighted 2'!$H$8)</f>
        <v>#REF!</v>
      </c>
      <c r="H82" s="16" t="e">
        <f>(Central!#REF!*'Weighted 2'!$F$8)+(Step!#REF!*'Weighted 2'!$G$8)+(Slow!#REF!*'Weighted 2'!$H$8)</f>
        <v>#REF!</v>
      </c>
      <c r="I82" s="16" t="e">
        <f>(Central!#REF!*'Weighted 2'!$F$8)+(Step!#REF!*'Weighted 2'!$G$8)+(Slow!#REF!*'Weighted 2'!$H$8)</f>
        <v>#REF!</v>
      </c>
      <c r="J82" s="16" t="e">
        <f>(Central!#REF!*'Weighted 2'!$F$8)+(Step!#REF!*'Weighted 2'!$G$8)+(Slow!#REF!*'Weighted 2'!$H$8)</f>
        <v>#REF!</v>
      </c>
      <c r="K82" s="16" t="e">
        <f>(Central!#REF!*'Weighted 2'!$F$8)+(Step!#REF!*'Weighted 2'!$G$8)+(Slow!#REF!*'Weighted 2'!$H$8)</f>
        <v>#REF!</v>
      </c>
      <c r="L82" s="16" t="e">
        <f>(Central!#REF!*'Weighted 2'!$F$8)+(Step!#REF!*'Weighted 2'!$G$8)+(Slow!#REF!*'Weighted 2'!$H$8)</f>
        <v>#REF!</v>
      </c>
      <c r="M82" s="16" t="e">
        <f>(Central!#REF!*'Weighted 2'!$F$8)+(Step!#REF!*'Weighted 2'!$G$8)+(Slow!#REF!*'Weighted 2'!$H$8)</f>
        <v>#REF!</v>
      </c>
      <c r="N82" s="16" t="e">
        <f>(Central!#REF!*'Weighted 2'!$F$8)+(Step!#REF!*'Weighted 2'!$G$8)+(Slow!#REF!*'Weighted 2'!$H$8)</f>
        <v>#REF!</v>
      </c>
      <c r="O82" s="16" t="e">
        <f>(Central!#REF!*'Weighted 2'!$F$8)+(Step!#REF!*'Weighted 2'!$G$8)+(Slow!#REF!*'Weighted 2'!$H$8)</f>
        <v>#REF!</v>
      </c>
      <c r="P82" s="16" t="e">
        <f>(Central!#REF!*'Weighted 2'!$F$8)+(Step!#REF!*'Weighted 2'!$G$8)+(Slow!#REF!*'Weighted 2'!$H$8)</f>
        <v>#REF!</v>
      </c>
      <c r="Q82" s="16" t="e">
        <f>(Central!#REF!*'Weighted 2'!$F$8)+(Step!#REF!*'Weighted 2'!$G$8)+(Slow!#REF!*'Weighted 2'!$H$8)</f>
        <v>#REF!</v>
      </c>
      <c r="R82" s="16" t="e">
        <f>(Central!#REF!*'Weighted 2'!$F$8)+(Step!#REF!*'Weighted 2'!$G$8)+(Slow!#REF!*'Weighted 2'!$H$8)</f>
        <v>#REF!</v>
      </c>
      <c r="S82" s="16" t="e">
        <f>(Central!#REF!*'Weighted 2'!$F$8)+(Step!#REF!*'Weighted 2'!$G$8)+(Slow!#REF!*'Weighted 2'!$H$8)</f>
        <v>#REF!</v>
      </c>
      <c r="T82" s="16" t="e">
        <f>(Central!#REF!*'Weighted 2'!$F$8)+(Step!#REF!*'Weighted 2'!$G$8)+(Slow!#REF!*'Weighted 2'!$H$8)</f>
        <v>#REF!</v>
      </c>
      <c r="U82" s="16" t="e">
        <f>(Central!#REF!*'Weighted 2'!$F$8)+(Step!#REF!*'Weighted 2'!$G$8)+(Slow!#REF!*'Weighted 2'!$H$8)</f>
        <v>#REF!</v>
      </c>
      <c r="V82" s="16" t="e">
        <f>(Central!#REF!*'Weighted 2'!$F$8)+(Step!#REF!*'Weighted 2'!$G$8)+(Slow!#REF!*'Weighted 2'!$H$8)</f>
        <v>#REF!</v>
      </c>
      <c r="W82" s="16" t="e">
        <f>(Central!#REF!*'Weighted 2'!$F$8)+(Step!#REF!*'Weighted 2'!$G$8)+(Slow!#REF!*'Weighted 2'!$H$8)</f>
        <v>#REF!</v>
      </c>
      <c r="X82" s="16" t="e">
        <f>(Central!#REF!*'Weighted 2'!$F$8)+(Step!#REF!*'Weighted 2'!$G$8)+(Slow!#REF!*'Weighted 2'!$H$8)</f>
        <v>#REF!</v>
      </c>
      <c r="Y82" s="16" t="e">
        <f>(Central!#REF!*'Weighted 2'!$F$8)+(Step!#REF!*'Weighted 2'!$G$8)+(Slow!#REF!*'Weighted 2'!$H$8)</f>
        <v>#REF!</v>
      </c>
      <c r="Z82" s="16" t="e">
        <f>(Central!#REF!*'Weighted 2'!$F$8)+(Step!#REF!*'Weighted 2'!$G$8)+(Slow!#REF!*'Weighted 2'!$H$8)</f>
        <v>#REF!</v>
      </c>
      <c r="AA82" s="16" t="e">
        <f>(Central!#REF!*'Weighted 2'!$F$8)+(Step!#REF!*'Weighted 2'!$G$8)+(Slow!#REF!*'Weighted 2'!$H$8)</f>
        <v>#REF!</v>
      </c>
      <c r="AB82" s="16" t="e">
        <f>(Central!#REF!*'Weighted 2'!$F$8)+(Step!#REF!*'Weighted 2'!$G$8)+(Slow!#REF!*'Weighted 2'!$H$8)</f>
        <v>#REF!</v>
      </c>
      <c r="AC82" s="16" t="e">
        <f>(Central!#REF!*'Weighted 2'!$F$8)+(Step!#REF!*'Weighted 2'!$G$8)+(Slow!#REF!*'Weighted 2'!$H$8)</f>
        <v>#REF!</v>
      </c>
      <c r="AD82" s="16" t="e">
        <f>(Central!#REF!*'Weighted 2'!$F$8)+(Step!#REF!*'Weighted 2'!$G$8)+(Slow!#REF!*'Weighted 2'!$H$8)</f>
        <v>#REF!</v>
      </c>
      <c r="AE82" s="16" t="e">
        <f>(Central!#REF!*'Weighted 2'!$F$8)+(Step!#REF!*'Weighted 2'!$G$8)+(Slow!#REF!*'Weighted 2'!$H$8)</f>
        <v>#REF!</v>
      </c>
      <c r="AF82" s="16" t="e">
        <f>(Central!#REF!*'Weighted 2'!$F$8)+(Step!#REF!*'Weighted 2'!$G$8)+(Slow!#REF!*'Weighted 2'!$H$8)</f>
        <v>#REF!</v>
      </c>
    </row>
    <row r="83" spans="1:32" x14ac:dyDescent="0.2">
      <c r="B83" s="172" t="e">
        <f>+'Option inputs'!#REF!</f>
        <v>#REF!</v>
      </c>
      <c r="C83" s="13" t="e">
        <f>+'Option inputs'!#REF!</f>
        <v>#REF!</v>
      </c>
      <c r="D83" s="164"/>
      <c r="E83" s="173" t="s">
        <v>35</v>
      </c>
      <c r="F83" s="17" t="e">
        <f>Central!#REF!*'Weighted 2'!$F$8+Step!#REF!*'Weighted 2'!$G$8+Slow!#REF!*'Weighted 2'!$H$8</f>
        <v>#REF!</v>
      </c>
      <c r="G83" s="16" t="e">
        <f>(Central!#REF!*'Weighted 2'!$F$8)+(Step!#REF!*'Weighted 2'!$G$8)+(Slow!#REF!*'Weighted 2'!$H$8)</f>
        <v>#REF!</v>
      </c>
      <c r="H83" s="16" t="e">
        <f>(Central!#REF!*'Weighted 2'!$F$8)+(Step!#REF!*'Weighted 2'!$G$8)+(Slow!#REF!*'Weighted 2'!$H$8)</f>
        <v>#REF!</v>
      </c>
      <c r="I83" s="16" t="e">
        <f>(Central!#REF!*'Weighted 2'!$F$8)+(Step!#REF!*'Weighted 2'!$G$8)+(Slow!#REF!*'Weighted 2'!$H$8)</f>
        <v>#REF!</v>
      </c>
      <c r="J83" s="16" t="e">
        <f>(Central!#REF!*'Weighted 2'!$F$8)+(Step!#REF!*'Weighted 2'!$G$8)+(Slow!#REF!*'Weighted 2'!$H$8)</f>
        <v>#REF!</v>
      </c>
      <c r="K83" s="16" t="e">
        <f>(Central!#REF!*'Weighted 2'!$F$8)+(Step!#REF!*'Weighted 2'!$G$8)+(Slow!#REF!*'Weighted 2'!$H$8)</f>
        <v>#REF!</v>
      </c>
      <c r="L83" s="16" t="e">
        <f>(Central!#REF!*'Weighted 2'!$F$8)+(Step!#REF!*'Weighted 2'!$G$8)+(Slow!#REF!*'Weighted 2'!$H$8)</f>
        <v>#REF!</v>
      </c>
      <c r="M83" s="16" t="e">
        <f>(Central!#REF!*'Weighted 2'!$F$8)+(Step!#REF!*'Weighted 2'!$G$8)+(Slow!#REF!*'Weighted 2'!$H$8)</f>
        <v>#REF!</v>
      </c>
      <c r="N83" s="16" t="e">
        <f>(Central!#REF!*'Weighted 2'!$F$8)+(Step!#REF!*'Weighted 2'!$G$8)+(Slow!#REF!*'Weighted 2'!$H$8)</f>
        <v>#REF!</v>
      </c>
      <c r="O83" s="16" t="e">
        <f>(Central!#REF!*'Weighted 2'!$F$8)+(Step!#REF!*'Weighted 2'!$G$8)+(Slow!#REF!*'Weighted 2'!$H$8)</f>
        <v>#REF!</v>
      </c>
      <c r="P83" s="16" t="e">
        <f>(Central!#REF!*'Weighted 2'!$F$8)+(Step!#REF!*'Weighted 2'!$G$8)+(Slow!#REF!*'Weighted 2'!$H$8)</f>
        <v>#REF!</v>
      </c>
      <c r="Q83" s="16" t="e">
        <f>(Central!#REF!*'Weighted 2'!$F$8)+(Step!#REF!*'Weighted 2'!$G$8)+(Slow!#REF!*'Weighted 2'!$H$8)</f>
        <v>#REF!</v>
      </c>
      <c r="R83" s="16" t="e">
        <f>(Central!#REF!*'Weighted 2'!$F$8)+(Step!#REF!*'Weighted 2'!$G$8)+(Slow!#REF!*'Weighted 2'!$H$8)</f>
        <v>#REF!</v>
      </c>
      <c r="S83" s="16" t="e">
        <f>(Central!#REF!*'Weighted 2'!$F$8)+(Step!#REF!*'Weighted 2'!$G$8)+(Slow!#REF!*'Weighted 2'!$H$8)</f>
        <v>#REF!</v>
      </c>
      <c r="T83" s="16" t="e">
        <f>(Central!#REF!*'Weighted 2'!$F$8)+(Step!#REF!*'Weighted 2'!$G$8)+(Slow!#REF!*'Weighted 2'!$H$8)</f>
        <v>#REF!</v>
      </c>
      <c r="U83" s="16" t="e">
        <f>(Central!#REF!*'Weighted 2'!$F$8)+(Step!#REF!*'Weighted 2'!$G$8)+(Slow!#REF!*'Weighted 2'!$H$8)</f>
        <v>#REF!</v>
      </c>
      <c r="V83" s="16" t="e">
        <f>(Central!#REF!*'Weighted 2'!$F$8)+(Step!#REF!*'Weighted 2'!$G$8)+(Slow!#REF!*'Weighted 2'!$H$8)</f>
        <v>#REF!</v>
      </c>
      <c r="W83" s="16" t="e">
        <f>(Central!#REF!*'Weighted 2'!$F$8)+(Step!#REF!*'Weighted 2'!$G$8)+(Slow!#REF!*'Weighted 2'!$H$8)</f>
        <v>#REF!</v>
      </c>
      <c r="X83" s="16" t="e">
        <f>(Central!#REF!*'Weighted 2'!$F$8)+(Step!#REF!*'Weighted 2'!$G$8)+(Slow!#REF!*'Weighted 2'!$H$8)</f>
        <v>#REF!</v>
      </c>
      <c r="Y83" s="16" t="e">
        <f>(Central!#REF!*'Weighted 2'!$F$8)+(Step!#REF!*'Weighted 2'!$G$8)+(Slow!#REF!*'Weighted 2'!$H$8)</f>
        <v>#REF!</v>
      </c>
      <c r="Z83" s="16" t="e">
        <f>(Central!#REF!*'Weighted 2'!$F$8)+(Step!#REF!*'Weighted 2'!$G$8)+(Slow!#REF!*'Weighted 2'!$H$8)</f>
        <v>#REF!</v>
      </c>
      <c r="AA83" s="16" t="e">
        <f>(Central!#REF!*'Weighted 2'!$F$8)+(Step!#REF!*'Weighted 2'!$G$8)+(Slow!#REF!*'Weighted 2'!$H$8)</f>
        <v>#REF!</v>
      </c>
      <c r="AB83" s="16" t="e">
        <f>(Central!#REF!*'Weighted 2'!$F$8)+(Step!#REF!*'Weighted 2'!$G$8)+(Slow!#REF!*'Weighted 2'!$H$8)</f>
        <v>#REF!</v>
      </c>
      <c r="AC83" s="16" t="e">
        <f>(Central!#REF!*'Weighted 2'!$F$8)+(Step!#REF!*'Weighted 2'!$G$8)+(Slow!#REF!*'Weighted 2'!$H$8)</f>
        <v>#REF!</v>
      </c>
      <c r="AD83" s="16" t="e">
        <f>(Central!#REF!*'Weighted 2'!$F$8)+(Step!#REF!*'Weighted 2'!$G$8)+(Slow!#REF!*'Weighted 2'!$H$8)</f>
        <v>#REF!</v>
      </c>
      <c r="AE83" s="16" t="e">
        <f>(Central!#REF!*'Weighted 2'!$F$8)+(Step!#REF!*'Weighted 2'!$G$8)+(Slow!#REF!*'Weighted 2'!$H$8)</f>
        <v>#REF!</v>
      </c>
      <c r="AF83" s="16" t="e">
        <f>(Central!#REF!*'Weighted 2'!$F$8)+(Step!#REF!*'Weighted 2'!$G$8)+(Slow!#REF!*'Weighted 2'!$H$8)</f>
        <v>#REF!</v>
      </c>
    </row>
    <row r="84" spans="1:32" x14ac:dyDescent="0.2">
      <c r="B84" s="161"/>
      <c r="C84" s="165"/>
      <c r="D84" s="165"/>
      <c r="E84" s="161"/>
      <c r="F84" s="126"/>
      <c r="H84" s="126"/>
      <c r="I84" s="126"/>
    </row>
    <row r="85" spans="1:32" ht="21" x14ac:dyDescent="0.35">
      <c r="B85" s="162" t="s">
        <v>51</v>
      </c>
      <c r="C85" s="163"/>
      <c r="D85" s="163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</row>
    <row r="86" spans="1:32" x14ac:dyDescent="0.2">
      <c r="B86" s="161"/>
      <c r="C86" s="165"/>
      <c r="D86" s="165"/>
      <c r="E86" s="161"/>
      <c r="F86" s="161"/>
    </row>
    <row r="87" spans="1:32" ht="15.75" x14ac:dyDescent="0.25">
      <c r="B87" s="166" t="str">
        <f>+'CBA Inputs'!B145&amp;" (Broken Hill only)"</f>
        <v>Involuntary load shedding (Broken Hill only)</v>
      </c>
      <c r="C87" s="167"/>
      <c r="D87" s="167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</row>
    <row r="88" spans="1:32" ht="15.75" x14ac:dyDescent="0.25">
      <c r="B88" s="168" t="s">
        <v>14</v>
      </c>
      <c r="C88" s="169" t="s">
        <v>13</v>
      </c>
      <c r="D88" s="169"/>
      <c r="E88" s="170" t="s">
        <v>22</v>
      </c>
      <c r="F88" s="170" t="s">
        <v>37</v>
      </c>
      <c r="G88" s="171" t="str">
        <f>G$55</f>
        <v>FY 2020-21</v>
      </c>
      <c r="H88" s="171" t="str">
        <f t="shared" ref="H88:AF88" si="18">H$55</f>
        <v>FY 2021-22</v>
      </c>
      <c r="I88" s="171" t="str">
        <f t="shared" si="18"/>
        <v>FY 2022-23</v>
      </c>
      <c r="J88" s="171" t="str">
        <f t="shared" si="18"/>
        <v>FY 2023-24</v>
      </c>
      <c r="K88" s="171" t="str">
        <f t="shared" si="18"/>
        <v>FY 2024-25</v>
      </c>
      <c r="L88" s="171" t="str">
        <f t="shared" si="18"/>
        <v>FY 2025-26</v>
      </c>
      <c r="M88" s="171" t="str">
        <f t="shared" si="18"/>
        <v>FY 2026-27</v>
      </c>
      <c r="N88" s="171" t="str">
        <f t="shared" si="18"/>
        <v>FY 2027-28</v>
      </c>
      <c r="O88" s="171" t="str">
        <f t="shared" si="18"/>
        <v>FY 2028-29</v>
      </c>
      <c r="P88" s="171" t="str">
        <f t="shared" si="18"/>
        <v>FY 2029-30</v>
      </c>
      <c r="Q88" s="171" t="str">
        <f t="shared" si="18"/>
        <v>FY 2030-31</v>
      </c>
      <c r="R88" s="171" t="str">
        <f t="shared" si="18"/>
        <v>FY 2031-32</v>
      </c>
      <c r="S88" s="171" t="str">
        <f t="shared" si="18"/>
        <v>FY 2032-33</v>
      </c>
      <c r="T88" s="171" t="str">
        <f t="shared" si="18"/>
        <v>FY 2033-34</v>
      </c>
      <c r="U88" s="171" t="str">
        <f t="shared" si="18"/>
        <v>FY 2034-35</v>
      </c>
      <c r="V88" s="171" t="str">
        <f t="shared" si="18"/>
        <v>FY 2035-36</v>
      </c>
      <c r="W88" s="171" t="str">
        <f t="shared" si="18"/>
        <v>FY 2036-37</v>
      </c>
      <c r="X88" s="171" t="str">
        <f t="shared" si="18"/>
        <v>FY 2037-38</v>
      </c>
      <c r="Y88" s="171" t="str">
        <f t="shared" si="18"/>
        <v>FY 2038-39</v>
      </c>
      <c r="Z88" s="171" t="str">
        <f t="shared" si="18"/>
        <v>FY 2039-40</v>
      </c>
      <c r="AA88" s="171" t="str">
        <f t="shared" si="18"/>
        <v>FY 2040-41</v>
      </c>
      <c r="AB88" s="171" t="str">
        <f t="shared" si="18"/>
        <v>FY 2041-42</v>
      </c>
      <c r="AC88" s="171" t="str">
        <f t="shared" si="18"/>
        <v>FY 2042-43</v>
      </c>
      <c r="AD88" s="171" t="str">
        <f t="shared" si="18"/>
        <v>FY 2043-44</v>
      </c>
      <c r="AE88" s="171" t="str">
        <f t="shared" si="18"/>
        <v>FY 2044-45</v>
      </c>
      <c r="AF88" s="171" t="str">
        <f t="shared" si="18"/>
        <v>FY 2045-46</v>
      </c>
    </row>
    <row r="89" spans="1:32" x14ac:dyDescent="0.2">
      <c r="A89" s="149"/>
      <c r="B89" s="172">
        <f>+'Option inputs'!$B$15</f>
        <v>1</v>
      </c>
      <c r="C89" s="13" t="str">
        <f>+'Option inputs'!$C$15</f>
        <v>Option 1A</v>
      </c>
      <c r="D89" s="164"/>
      <c r="E89" s="173" t="s">
        <v>35</v>
      </c>
      <c r="F89" s="17">
        <f>Central!F87*'Weighted 2'!$F$8+Step!F87*'Weighted 2'!$G$8+Slow!F87*'Weighted 2'!$H$8</f>
        <v>-8588278.5532310344</v>
      </c>
      <c r="G89" s="16">
        <f>(Central!G87*'Weighted 2'!$F$8)+(Step!G87*'Weighted 2'!$G$8)+(Slow!G87*'Weighted 2'!$H$8)</f>
        <v>0</v>
      </c>
      <c r="H89" s="16">
        <f>(Central!H87*'Weighted 2'!$F$8)+(Step!H87*'Weighted 2'!$G$8)+(Slow!H87*'Weighted 2'!$H$8)</f>
        <v>-52045.240061692661</v>
      </c>
      <c r="I89" s="16">
        <f>(Central!I87*'Weighted 2'!$F$8)+(Step!I87*'Weighted 2'!$G$8)+(Slow!I87*'Weighted 2'!$H$8)</f>
        <v>-854975.28759370244</v>
      </c>
      <c r="J89" s="16">
        <f>(Central!J87*'Weighted 2'!$F$8)+(Step!J87*'Weighted 2'!$G$8)+(Slow!J87*'Weighted 2'!$H$8)</f>
        <v>-2955696.4348910218</v>
      </c>
      <c r="K89" s="16">
        <f>(Central!K87*'Weighted 2'!$F$8)+(Step!K87*'Weighted 2'!$G$8)+(Slow!K87*'Weighted 2'!$H$8)</f>
        <v>-8741569.3005653806</v>
      </c>
      <c r="L89" s="16">
        <f>(Central!L87*'Weighted 2'!$F$8)+(Step!L87*'Weighted 2'!$G$8)+(Slow!L87*'Weighted 2'!$H$8)</f>
        <v>-148.90603408768396</v>
      </c>
      <c r="M89" s="16">
        <f>(Central!M87*'Weighted 2'!$F$8)+(Step!M87*'Weighted 2'!$G$8)+(Slow!M87*'Weighted 2'!$H$8)</f>
        <v>-418993.97052399954</v>
      </c>
      <c r="N89" s="16">
        <f>(Central!N87*'Weighted 2'!$F$8)+(Step!N87*'Weighted 2'!$G$8)+(Slow!N87*'Weighted 2'!$H$8)</f>
        <v>-167.35120661228615</v>
      </c>
      <c r="O89" s="16">
        <f>(Central!O87*'Weighted 2'!$F$8)+(Step!O87*'Weighted 2'!$G$8)+(Slow!O87*'Weighted 2'!$H$8)</f>
        <v>-176.66699795048697</v>
      </c>
      <c r="P89" s="16">
        <f>(Central!P87*'Weighted 2'!$F$8)+(Step!P87*'Weighted 2'!$G$8)+(Slow!P87*'Weighted 2'!$H$8)</f>
        <v>-187.04788511929451</v>
      </c>
      <c r="Q89" s="16">
        <f>(Central!Q87*'Weighted 2'!$F$8)+(Step!Q87*'Weighted 2'!$G$8)+(Slow!Q87*'Weighted 2'!$H$8)</f>
        <v>676961.85744050471</v>
      </c>
      <c r="R89" s="16">
        <f>(Central!R87*'Weighted 2'!$F$8)+(Step!R87*'Weighted 2'!$G$8)+(Slow!R87*'Weighted 2'!$H$8)</f>
        <v>-210.27349420280837</v>
      </c>
      <c r="S89" s="16">
        <f>(Central!S87*'Weighted 2'!$F$8)+(Step!S87*'Weighted 2'!$G$8)+(Slow!S87*'Weighted 2'!$H$8)</f>
        <v>-222.11105872182279</v>
      </c>
      <c r="T89" s="16">
        <f>(Central!T87*'Weighted 2'!$F$8)+(Step!T87*'Weighted 2'!$G$8)+(Slow!T87*'Weighted 2'!$H$8)</f>
        <v>-235.22419638386879</v>
      </c>
      <c r="U89" s="16">
        <f>(Central!U87*'Weighted 2'!$F$8)+(Step!U87*'Weighted 2'!$G$8)+(Slow!U87*'Weighted 2'!$H$8)</f>
        <v>-248.98398759101158</v>
      </c>
      <c r="V89" s="16">
        <f>(Central!V87*'Weighted 2'!$F$8)+(Step!V87*'Weighted 2'!$G$8)+(Slow!V87*'Weighted 2'!$H$8)</f>
        <v>698606.11373874184</v>
      </c>
      <c r="W89" s="16">
        <f>(Central!W87*'Weighted 2'!$F$8)+(Step!W87*'Weighted 2'!$G$8)+(Slow!W87*'Weighted 2'!$H$8)</f>
        <v>9820.1201238009853</v>
      </c>
      <c r="X89" s="16">
        <f>(Central!X87*'Weighted 2'!$F$8)+(Step!X87*'Weighted 2'!$G$8)+(Slow!X87*'Weighted 2'!$H$8)</f>
        <v>313071.17930254078</v>
      </c>
      <c r="Y89" s="16">
        <f>(Central!Y87*'Weighted 2'!$F$8)+(Step!Y87*'Weighted 2'!$G$8)+(Slow!Y87*'Weighted 2'!$H$8)</f>
        <v>-312.11289299941581</v>
      </c>
      <c r="Z89" s="16">
        <f>(Central!Z87*'Weighted 2'!$F$8)+(Step!Z87*'Weighted 2'!$G$8)+(Slow!Z87*'Weighted 2'!$H$8)</f>
        <v>517027.59856712143</v>
      </c>
      <c r="AA89" s="16">
        <f>(Central!AA87*'Weighted 2'!$F$8)+(Step!AA87*'Weighted 2'!$G$8)+(Slow!AA87*'Weighted 2'!$H$8)</f>
        <v>506415.23372985673</v>
      </c>
      <c r="AB89" s="16">
        <f>(Central!AB87*'Weighted 2'!$F$8)+(Step!AB87*'Weighted 2'!$G$8)+(Slow!AB87*'Weighted 2'!$H$8)</f>
        <v>-703901.41547303135</v>
      </c>
      <c r="AC89" s="16">
        <f>(Central!AC87*'Weighted 2'!$F$8)+(Step!AC87*'Weighted 2'!$G$8)+(Slow!AC87*'Weighted 2'!$H$8)</f>
        <v>374456.51265919366</v>
      </c>
      <c r="AD89" s="16">
        <f>(Central!AD87*'Weighted 2'!$F$8)+(Step!AD87*'Weighted 2'!$G$8)+(Slow!AD87*'Weighted 2'!$H$8)</f>
        <v>397406.73471654655</v>
      </c>
      <c r="AE89" s="16">
        <f>(Central!AE87*'Weighted 2'!$F$8)+(Step!AE87*'Weighted 2'!$G$8)+(Slow!AE87*'Weighted 2'!$H$8)</f>
        <v>1297665.7344386294</v>
      </c>
      <c r="AF89" s="16">
        <f>(Central!AF87*'Weighted 2'!$F$8)+(Step!AF87*'Weighted 2'!$G$8)+(Slow!AF87*'Weighted 2'!$H$8)</f>
        <v>-40495.585694490866</v>
      </c>
    </row>
    <row r="90" spans="1:32" x14ac:dyDescent="0.2">
      <c r="A90" s="149"/>
      <c r="B90" s="172">
        <f>+'Option inputs'!$B$16</f>
        <v>2</v>
      </c>
      <c r="C90" s="13" t="str">
        <f>+'Option inputs'!$C$16</f>
        <v>Option 1B</v>
      </c>
      <c r="D90" s="164"/>
      <c r="E90" s="173" t="s">
        <v>35</v>
      </c>
      <c r="F90" s="17">
        <f>Central!F88*'Weighted 2'!$F$8+Step!F88*'Weighted 2'!$G$8+Slow!F88*'Weighted 2'!$H$8</f>
        <v>-8588278.5532310344</v>
      </c>
      <c r="G90" s="16">
        <f>(Central!G88*'Weighted 2'!$F$8)+(Step!G88*'Weighted 2'!$G$8)+(Slow!G88*'Weighted 2'!$H$8)</f>
        <v>0</v>
      </c>
      <c r="H90" s="16">
        <f>(Central!H88*'Weighted 2'!$F$8)+(Step!H88*'Weighted 2'!$G$8)+(Slow!H88*'Weighted 2'!$H$8)</f>
        <v>-52045.240061692661</v>
      </c>
      <c r="I90" s="16">
        <f>(Central!I88*'Weighted 2'!$F$8)+(Step!I88*'Weighted 2'!$G$8)+(Slow!I88*'Weighted 2'!$H$8)</f>
        <v>-854975.28759370244</v>
      </c>
      <c r="J90" s="16">
        <f>(Central!J88*'Weighted 2'!$F$8)+(Step!J88*'Weighted 2'!$G$8)+(Slow!J88*'Weighted 2'!$H$8)</f>
        <v>-2955696.4348910218</v>
      </c>
      <c r="K90" s="16">
        <f>(Central!K88*'Weighted 2'!$F$8)+(Step!K88*'Weighted 2'!$G$8)+(Slow!K88*'Weighted 2'!$H$8)</f>
        <v>-8741569.3005653806</v>
      </c>
      <c r="L90" s="16">
        <f>(Central!L88*'Weighted 2'!$F$8)+(Step!L88*'Weighted 2'!$G$8)+(Slow!L88*'Weighted 2'!$H$8)</f>
        <v>-148.90603408768396</v>
      </c>
      <c r="M90" s="16">
        <f>(Central!M88*'Weighted 2'!$F$8)+(Step!M88*'Weighted 2'!$G$8)+(Slow!M88*'Weighted 2'!$H$8)</f>
        <v>-418993.97052399954</v>
      </c>
      <c r="N90" s="16">
        <f>(Central!N88*'Weighted 2'!$F$8)+(Step!N88*'Weighted 2'!$G$8)+(Slow!N88*'Weighted 2'!$H$8)</f>
        <v>-167.35120661228615</v>
      </c>
      <c r="O90" s="16">
        <f>(Central!O88*'Weighted 2'!$F$8)+(Step!O88*'Weighted 2'!$G$8)+(Slow!O88*'Weighted 2'!$H$8)</f>
        <v>-176.66699795048697</v>
      </c>
      <c r="P90" s="16">
        <f>(Central!P88*'Weighted 2'!$F$8)+(Step!P88*'Weighted 2'!$G$8)+(Slow!P88*'Weighted 2'!$H$8)</f>
        <v>-187.04788511929451</v>
      </c>
      <c r="Q90" s="16">
        <f>(Central!Q88*'Weighted 2'!$F$8)+(Step!Q88*'Weighted 2'!$G$8)+(Slow!Q88*'Weighted 2'!$H$8)</f>
        <v>676961.85744050471</v>
      </c>
      <c r="R90" s="16">
        <f>(Central!R88*'Weighted 2'!$F$8)+(Step!R88*'Weighted 2'!$G$8)+(Slow!R88*'Weighted 2'!$H$8)</f>
        <v>-210.27349420280837</v>
      </c>
      <c r="S90" s="16">
        <f>(Central!S88*'Weighted 2'!$F$8)+(Step!S88*'Weighted 2'!$G$8)+(Slow!S88*'Weighted 2'!$H$8)</f>
        <v>-222.11105872182279</v>
      </c>
      <c r="T90" s="16">
        <f>(Central!T88*'Weighted 2'!$F$8)+(Step!T88*'Weighted 2'!$G$8)+(Slow!T88*'Weighted 2'!$H$8)</f>
        <v>-235.22419638386879</v>
      </c>
      <c r="U90" s="16">
        <f>(Central!U88*'Weighted 2'!$F$8)+(Step!U88*'Weighted 2'!$G$8)+(Slow!U88*'Weighted 2'!$H$8)</f>
        <v>-248.98398759101158</v>
      </c>
      <c r="V90" s="16">
        <f>(Central!V88*'Weighted 2'!$F$8)+(Step!V88*'Weighted 2'!$G$8)+(Slow!V88*'Weighted 2'!$H$8)</f>
        <v>698606.11373874184</v>
      </c>
      <c r="W90" s="16">
        <f>(Central!W88*'Weighted 2'!$F$8)+(Step!W88*'Weighted 2'!$G$8)+(Slow!W88*'Weighted 2'!$H$8)</f>
        <v>9820.1201238009853</v>
      </c>
      <c r="X90" s="16">
        <f>(Central!X88*'Weighted 2'!$F$8)+(Step!X88*'Weighted 2'!$G$8)+(Slow!X88*'Weighted 2'!$H$8)</f>
        <v>313071.17930254078</v>
      </c>
      <c r="Y90" s="16">
        <f>(Central!Y88*'Weighted 2'!$F$8)+(Step!Y88*'Weighted 2'!$G$8)+(Slow!Y88*'Weighted 2'!$H$8)</f>
        <v>-312.11289299941581</v>
      </c>
      <c r="Z90" s="16">
        <f>(Central!Z88*'Weighted 2'!$F$8)+(Step!Z88*'Weighted 2'!$G$8)+(Slow!Z88*'Weighted 2'!$H$8)</f>
        <v>517027.59856712143</v>
      </c>
      <c r="AA90" s="16">
        <f>(Central!AA88*'Weighted 2'!$F$8)+(Step!AA88*'Weighted 2'!$G$8)+(Slow!AA88*'Weighted 2'!$H$8)</f>
        <v>506415.23372985673</v>
      </c>
      <c r="AB90" s="16">
        <f>(Central!AB88*'Weighted 2'!$F$8)+(Step!AB88*'Weighted 2'!$G$8)+(Slow!AB88*'Weighted 2'!$H$8)</f>
        <v>-703901.41547303135</v>
      </c>
      <c r="AC90" s="16">
        <f>(Central!AC88*'Weighted 2'!$F$8)+(Step!AC88*'Weighted 2'!$G$8)+(Slow!AC88*'Weighted 2'!$H$8)</f>
        <v>374456.51265919366</v>
      </c>
      <c r="AD90" s="16">
        <f>(Central!AD88*'Weighted 2'!$F$8)+(Step!AD88*'Weighted 2'!$G$8)+(Slow!AD88*'Weighted 2'!$H$8)</f>
        <v>397406.73471654655</v>
      </c>
      <c r="AE90" s="16">
        <f>(Central!AE88*'Weighted 2'!$F$8)+(Step!AE88*'Weighted 2'!$G$8)+(Slow!AE88*'Weighted 2'!$H$8)</f>
        <v>1297665.7344386294</v>
      </c>
      <c r="AF90" s="16">
        <f>(Central!AF88*'Weighted 2'!$F$8)+(Step!AF88*'Weighted 2'!$G$8)+(Slow!AF88*'Weighted 2'!$H$8)</f>
        <v>-40495.585694490866</v>
      </c>
    </row>
    <row r="91" spans="1:32" x14ac:dyDescent="0.2">
      <c r="A91" s="149"/>
      <c r="B91" s="172">
        <f>+'Option inputs'!$B$17</f>
        <v>3</v>
      </c>
      <c r="C91" s="13" t="str">
        <f>+'Option inputs'!$C$17</f>
        <v>Option 2</v>
      </c>
      <c r="D91" s="164"/>
      <c r="E91" s="173" t="s">
        <v>35</v>
      </c>
      <c r="F91" s="17">
        <f>Central!F89*'Weighted 2'!$F$8+Step!F89*'Weighted 2'!$G$8+Slow!F89*'Weighted 2'!$H$8</f>
        <v>-8692451.8873015139</v>
      </c>
      <c r="G91" s="16">
        <f>(Central!G89*'Weighted 2'!$F$8)+(Step!G89*'Weighted 2'!$G$8)+(Slow!G89*'Weighted 2'!$H$8)</f>
        <v>0</v>
      </c>
      <c r="H91" s="16">
        <f>(Central!H89*'Weighted 2'!$F$8)+(Step!H89*'Weighted 2'!$G$8)+(Slow!H89*'Weighted 2'!$H$8)</f>
        <v>-52757.764552481647</v>
      </c>
      <c r="I91" s="16">
        <f>(Central!I89*'Weighted 2'!$F$8)+(Step!I89*'Weighted 2'!$G$8)+(Slow!I89*'Weighted 2'!$H$8)</f>
        <v>-860164.01081524196</v>
      </c>
      <c r="J91" s="16">
        <f>(Central!J89*'Weighted 2'!$F$8)+(Step!J89*'Weighted 2'!$G$8)+(Slow!J89*'Weighted 2'!$H$8)</f>
        <v>-2960113.4003947387</v>
      </c>
      <c r="K91" s="16">
        <f>(Central!K89*'Weighted 2'!$F$8)+(Step!K89*'Weighted 2'!$G$8)+(Slow!K89*'Weighted 2'!$H$8)</f>
        <v>-8792641.3793351799</v>
      </c>
      <c r="L91" s="16">
        <f>(Central!L89*'Weighted 2'!$F$8)+(Step!L89*'Weighted 2'!$G$8)+(Slow!L89*'Weighted 2'!$H$8)</f>
        <v>-212.1186435214006</v>
      </c>
      <c r="M91" s="16">
        <f>(Central!M89*'Weighted 2'!$F$8)+(Step!M89*'Weighted 2'!$G$8)+(Slow!M89*'Weighted 2'!$H$8)</f>
        <v>-419746.49945197505</v>
      </c>
      <c r="N91" s="16">
        <f>(Central!N89*'Weighted 2'!$F$8)+(Step!N89*'Weighted 2'!$G$8)+(Slow!N89*'Weighted 2'!$H$8)</f>
        <v>-238.3567489317669</v>
      </c>
      <c r="O91" s="16">
        <f>(Central!O89*'Weighted 2'!$F$8)+(Step!O89*'Weighted 2'!$G$8)+(Slow!O89*'Weighted 2'!$H$8)</f>
        <v>-251.69844866586965</v>
      </c>
      <c r="P91" s="16">
        <f>(Central!P89*'Weighted 2'!$F$8)+(Step!P89*'Weighted 2'!$G$8)+(Slow!P89*'Weighted 2'!$H$8)</f>
        <v>-266.60712765250923</v>
      </c>
      <c r="Q91" s="16">
        <f>(Central!Q89*'Weighted 2'!$F$8)+(Step!Q89*'Weighted 2'!$G$8)+(Slow!Q89*'Weighted 2'!$H$8)</f>
        <v>728451.01092193241</v>
      </c>
      <c r="R91" s="16">
        <f>(Central!R89*'Weighted 2'!$F$8)+(Step!R89*'Weighted 2'!$G$8)+(Slow!R89*'Weighted 2'!$H$8)</f>
        <v>-299.82178171250041</v>
      </c>
      <c r="S91" s="16">
        <f>(Central!S89*'Weighted 2'!$F$8)+(Step!S89*'Weighted 2'!$G$8)+(Slow!S89*'Weighted 2'!$H$8)</f>
        <v>-316.67699975957481</v>
      </c>
      <c r="T91" s="16">
        <f>(Central!T89*'Weighted 2'!$F$8)+(Step!T89*'Weighted 2'!$G$8)+(Slow!T89*'Weighted 2'!$H$8)</f>
        <v>-335.46247521414887</v>
      </c>
      <c r="U91" s="16">
        <f>(Central!U89*'Weighted 2'!$F$8)+(Step!U89*'Weighted 2'!$G$8)+(Slow!U89*'Weighted 2'!$H$8)</f>
        <v>-355.07248195976234</v>
      </c>
      <c r="V91" s="16">
        <f>(Central!V89*'Weighted 2'!$F$8)+(Step!V89*'Weighted 2'!$G$8)+(Slow!V89*'Weighted 2'!$H$8)</f>
        <v>731472.71274125041</v>
      </c>
      <c r="W91" s="16">
        <f>(Central!W89*'Weighted 2'!$F$8)+(Step!W89*'Weighted 2'!$G$8)+(Slow!W89*'Weighted 2'!$H$8)</f>
        <v>16692.652145940981</v>
      </c>
      <c r="X91" s="16">
        <f>(Central!X89*'Weighted 2'!$F$8)+(Step!X89*'Weighted 2'!$G$8)+(Slow!X89*'Weighted 2'!$H$8)</f>
        <v>185275.46068285202</v>
      </c>
      <c r="Y91" s="16">
        <f>(Central!Y89*'Weighted 2'!$F$8)+(Step!Y89*'Weighted 2'!$G$8)+(Slow!Y89*'Weighted 2'!$H$8)</f>
        <v>-444.8800933233702</v>
      </c>
      <c r="Z91" s="16">
        <f>(Central!Z89*'Weighted 2'!$F$8)+(Step!Z89*'Weighted 2'!$G$8)+(Slow!Z89*'Weighted 2'!$H$8)</f>
        <v>501390.70162313845</v>
      </c>
      <c r="AA91" s="16">
        <f>(Central!AA89*'Weighted 2'!$F$8)+(Step!AA89*'Weighted 2'!$G$8)+(Slow!AA89*'Weighted 2'!$H$8)</f>
        <v>521742.29850882519</v>
      </c>
      <c r="AB91" s="16">
        <f>(Central!AB89*'Weighted 2'!$F$8)+(Step!AB89*'Weighted 2'!$G$8)+(Slow!AB89*'Weighted 2'!$H$8)</f>
        <v>-751595.28737822</v>
      </c>
      <c r="AC91" s="16">
        <f>(Central!AC89*'Weighted 2'!$F$8)+(Step!AC89*'Weighted 2'!$G$8)+(Slow!AC89*'Weighted 2'!$H$8)</f>
        <v>355735.21718684956</v>
      </c>
      <c r="AD91" s="16">
        <f>(Central!AD89*'Weighted 2'!$F$8)+(Step!AD89*'Weighted 2'!$G$8)+(Slow!AD89*'Weighted 2'!$H$8)</f>
        <v>424594.24581173045</v>
      </c>
      <c r="AE91" s="16">
        <f>(Central!AE89*'Weighted 2'!$F$8)+(Step!AE89*'Weighted 2'!$G$8)+(Slow!AE89*'Weighted 2'!$H$8)</f>
        <v>1120891.4734846149</v>
      </c>
      <c r="AF91" s="16">
        <f>(Central!AF89*'Weighted 2'!$F$8)+(Step!AF89*'Weighted 2'!$G$8)+(Slow!AF89*'Weighted 2'!$H$8)</f>
        <v>-39634.825991195263</v>
      </c>
    </row>
    <row r="92" spans="1:32" x14ac:dyDescent="0.2">
      <c r="A92" s="149"/>
      <c r="B92" s="172">
        <f>+'Option inputs'!$B$18</f>
        <v>4</v>
      </c>
      <c r="C92" s="13" t="str">
        <f>+'Option inputs'!$C$18</f>
        <v>Option 3</v>
      </c>
      <c r="D92" s="164"/>
      <c r="E92" s="173" t="s">
        <v>35</v>
      </c>
      <c r="F92" s="17">
        <f>Central!F90*'Weighted 2'!$F$8+Step!F90*'Weighted 2'!$G$8+Slow!F90*'Weighted 2'!$H$8</f>
        <v>-3783950.8623650088</v>
      </c>
      <c r="G92" s="16">
        <f>(Central!G90*'Weighted 2'!$F$8)+(Step!G90*'Weighted 2'!$G$8)+(Slow!G90*'Weighted 2'!$H$8)</f>
        <v>0</v>
      </c>
      <c r="H92" s="16">
        <f>(Central!H90*'Weighted 2'!$F$8)+(Step!H90*'Weighted 2'!$G$8)+(Slow!H90*'Weighted 2'!$H$8)</f>
        <v>-13151.893930160732</v>
      </c>
      <c r="I92" s="16">
        <f>(Central!I90*'Weighted 2'!$F$8)+(Step!I90*'Weighted 2'!$G$8)+(Slow!I90*'Weighted 2'!$H$8)</f>
        <v>-209130.22686752569</v>
      </c>
      <c r="J92" s="16">
        <f>(Central!J90*'Weighted 2'!$F$8)+(Step!J90*'Weighted 2'!$G$8)+(Slow!J90*'Weighted 2'!$H$8)</f>
        <v>-1096542.7526355367</v>
      </c>
      <c r="K92" s="16">
        <f>(Central!K90*'Weighted 2'!$F$8)+(Step!K90*'Weighted 2'!$G$8)+(Slow!K90*'Weighted 2'!$H$8)</f>
        <v>-3545654.4821783118</v>
      </c>
      <c r="L92" s="16">
        <f>(Central!L90*'Weighted 2'!$F$8)+(Step!L90*'Weighted 2'!$G$8)+(Slow!L90*'Weighted 2'!$H$8)</f>
        <v>63.826252642040444</v>
      </c>
      <c r="M92" s="16">
        <f>(Central!M90*'Weighted 2'!$F$8)+(Step!M90*'Weighted 2'!$G$8)+(Slow!M90*'Weighted 2'!$H$8)</f>
        <v>-197037.31907244635</v>
      </c>
      <c r="N92" s="16">
        <f>(Central!N90*'Weighted 2'!$F$8)+(Step!N90*'Weighted 2'!$G$8)+(Slow!N90*'Weighted 2'!$H$8)</f>
        <v>71.777936623978576</v>
      </c>
      <c r="O92" s="16">
        <f>(Central!O90*'Weighted 2'!$F$8)+(Step!O90*'Weighted 2'!$G$8)+(Slow!O90*'Weighted 2'!$H$8)</f>
        <v>75.809186635907892</v>
      </c>
      <c r="P92" s="16">
        <f>(Central!P90*'Weighted 2'!$F$8)+(Step!P90*'Weighted 2'!$G$8)+(Slow!P90*'Weighted 2'!$H$8)</f>
        <v>80.282887064135224</v>
      </c>
      <c r="Q92" s="16">
        <f>(Central!Q90*'Weighted 2'!$F$8)+(Step!Q90*'Weighted 2'!$G$8)+(Slow!Q90*'Weighted 2'!$H$8)</f>
        <v>122226.71733959179</v>
      </c>
      <c r="R92" s="16">
        <f>(Central!R90*'Weighted 2'!$F$8)+(Step!R90*'Weighted 2'!$G$8)+(Slow!R90*'Weighted 2'!$H$8)</f>
        <v>90.271274228461834</v>
      </c>
      <c r="S92" s="16">
        <f>(Central!S90*'Weighted 2'!$F$8)+(Step!S90*'Weighted 2'!$G$8)+(Slow!S90*'Weighted 2'!$H$8)</f>
        <v>95.37038575132587</v>
      </c>
      <c r="T92" s="16">
        <f>(Central!T90*'Weighted 2'!$F$8)+(Step!T90*'Weighted 2'!$G$8)+(Slow!T90*'Weighted 2'!$H$8)</f>
        <v>100.97491314839681</v>
      </c>
      <c r="U92" s="16">
        <f>(Central!U90*'Weighted 2'!$F$8)+(Step!U90*'Weighted 2'!$G$8)+(Slow!U90*'Weighted 2'!$H$8)</f>
        <v>106.91145194060333</v>
      </c>
      <c r="V92" s="16">
        <f>(Central!V90*'Weighted 2'!$F$8)+(Step!V90*'Weighted 2'!$G$8)+(Slow!V90*'Weighted 2'!$H$8)</f>
        <v>-34055.585426052639</v>
      </c>
      <c r="W92" s="16">
        <f>(Central!W90*'Weighted 2'!$F$8)+(Step!W90*'Weighted 2'!$G$8)+(Slow!W90*'Weighted 2'!$H$8)</f>
        <v>-9048.553999201391</v>
      </c>
      <c r="X92" s="16">
        <f>(Central!X90*'Weighted 2'!$F$8)+(Step!X90*'Weighted 2'!$G$8)+(Slow!X90*'Weighted 2'!$H$8)</f>
        <v>-3503.9188010239541</v>
      </c>
      <c r="Y92" s="16">
        <f>(Central!Y90*'Weighted 2'!$F$8)+(Step!Y90*'Weighted 2'!$G$8)+(Slow!Y90*'Weighted 2'!$H$8)</f>
        <v>135.43862291448244</v>
      </c>
      <c r="Z92" s="16">
        <f>(Central!Z90*'Weighted 2'!$F$8)+(Step!Z90*'Weighted 2'!$G$8)+(Slow!Z90*'Weighted 2'!$H$8)</f>
        <v>-29764.241615855426</v>
      </c>
      <c r="AA92" s="16">
        <f>(Central!AA90*'Weighted 2'!$F$8)+(Step!AA90*'Weighted 2'!$G$8)+(Slow!AA90*'Weighted 2'!$H$8)</f>
        <v>22333.776874352185</v>
      </c>
      <c r="AB92" s="16">
        <f>(Central!AB90*'Weighted 2'!$F$8)+(Step!AB90*'Weighted 2'!$G$8)+(Slow!AB90*'Weighted 2'!$H$8)</f>
        <v>-41994.596441692636</v>
      </c>
      <c r="AC92" s="16">
        <f>(Central!AC90*'Weighted 2'!$F$8)+(Step!AC90*'Weighted 2'!$G$8)+(Slow!AC90*'Weighted 2'!$H$8)</f>
        <v>50029.032015786841</v>
      </c>
      <c r="AD92" s="16">
        <f>(Central!AD90*'Weighted 2'!$F$8)+(Step!AD90*'Weighted 2'!$G$8)+(Slow!AD90*'Weighted 2'!$H$8)</f>
        <v>96290.064521770459</v>
      </c>
      <c r="AE92" s="16">
        <f>(Central!AE90*'Weighted 2'!$F$8)+(Step!AE90*'Weighted 2'!$G$8)+(Slow!AE90*'Weighted 2'!$H$8)</f>
        <v>7512.0604626755703</v>
      </c>
      <c r="AF92" s="16">
        <f>(Central!AF90*'Weighted 2'!$F$8)+(Step!AF90*'Weighted 2'!$G$8)+(Slow!AF90*'Weighted 2'!$H$8)</f>
        <v>-10506.85977656696</v>
      </c>
    </row>
    <row r="93" spans="1:32" x14ac:dyDescent="0.2">
      <c r="A93" s="149"/>
      <c r="B93" s="172">
        <f>+'Option inputs'!$B$19</f>
        <v>5</v>
      </c>
      <c r="C93" s="13" t="str">
        <f>+'Option inputs'!$C$19</f>
        <v>Option 4</v>
      </c>
      <c r="D93" s="164"/>
      <c r="E93" s="173" t="s">
        <v>35</v>
      </c>
      <c r="F93" s="17">
        <f>Central!F91*'Weighted 2'!$F$8+Step!F91*'Weighted 2'!$G$8+Slow!F91*'Weighted 2'!$H$8</f>
        <v>0</v>
      </c>
      <c r="G93" s="16" t="e">
        <f>(Central!G91*'Weighted 2'!$F$8)+(Step!G91*'Weighted 2'!$G$8)+(Slow!G91*'Weighted 2'!$H$8)</f>
        <v>#VALUE!</v>
      </c>
      <c r="H93" s="16">
        <f>(Central!H91*'Weighted 2'!$F$8)+(Step!H91*'Weighted 2'!$G$8)+(Slow!H91*'Weighted 2'!$H$8)</f>
        <v>0</v>
      </c>
      <c r="I93" s="16">
        <f>(Central!I91*'Weighted 2'!$F$8)+(Step!I91*'Weighted 2'!$G$8)+(Slow!I91*'Weighted 2'!$H$8)</f>
        <v>0</v>
      </c>
      <c r="J93" s="16">
        <f>(Central!J91*'Weighted 2'!$F$8)+(Step!J91*'Weighted 2'!$G$8)+(Slow!J91*'Weighted 2'!$H$8)</f>
        <v>0</v>
      </c>
      <c r="K93" s="16">
        <f>(Central!K91*'Weighted 2'!$F$8)+(Step!K91*'Weighted 2'!$G$8)+(Slow!K91*'Weighted 2'!$H$8)</f>
        <v>0</v>
      </c>
      <c r="L93" s="16">
        <f>(Central!L91*'Weighted 2'!$F$8)+(Step!L91*'Weighted 2'!$G$8)+(Slow!L91*'Weighted 2'!$H$8)</f>
        <v>0</v>
      </c>
      <c r="M93" s="16">
        <f>(Central!M91*'Weighted 2'!$F$8)+(Step!M91*'Weighted 2'!$G$8)+(Slow!M91*'Weighted 2'!$H$8)</f>
        <v>0</v>
      </c>
      <c r="N93" s="16">
        <f>(Central!N91*'Weighted 2'!$F$8)+(Step!N91*'Weighted 2'!$G$8)+(Slow!N91*'Weighted 2'!$H$8)</f>
        <v>0</v>
      </c>
      <c r="O93" s="16">
        <f>(Central!O91*'Weighted 2'!$F$8)+(Step!O91*'Weighted 2'!$G$8)+(Slow!O91*'Weighted 2'!$H$8)</f>
        <v>0</v>
      </c>
      <c r="P93" s="16">
        <f>(Central!P91*'Weighted 2'!$F$8)+(Step!P91*'Weighted 2'!$G$8)+(Slow!P91*'Weighted 2'!$H$8)</f>
        <v>0</v>
      </c>
      <c r="Q93" s="16">
        <f>(Central!Q91*'Weighted 2'!$F$8)+(Step!Q91*'Weighted 2'!$G$8)+(Slow!Q91*'Weighted 2'!$H$8)</f>
        <v>0</v>
      </c>
      <c r="R93" s="16">
        <f>(Central!R91*'Weighted 2'!$F$8)+(Step!R91*'Weighted 2'!$G$8)+(Slow!R91*'Weighted 2'!$H$8)</f>
        <v>0</v>
      </c>
      <c r="S93" s="16">
        <f>(Central!S91*'Weighted 2'!$F$8)+(Step!S91*'Weighted 2'!$G$8)+(Slow!S91*'Weighted 2'!$H$8)</f>
        <v>0</v>
      </c>
      <c r="T93" s="16">
        <f>(Central!T91*'Weighted 2'!$F$8)+(Step!T91*'Weighted 2'!$G$8)+(Slow!T91*'Weighted 2'!$H$8)</f>
        <v>0</v>
      </c>
      <c r="U93" s="16">
        <f>(Central!U91*'Weighted 2'!$F$8)+(Step!U91*'Weighted 2'!$G$8)+(Slow!U91*'Weighted 2'!$H$8)</f>
        <v>0</v>
      </c>
      <c r="V93" s="16">
        <f>(Central!V91*'Weighted 2'!$F$8)+(Step!V91*'Weighted 2'!$G$8)+(Slow!V91*'Weighted 2'!$H$8)</f>
        <v>0</v>
      </c>
      <c r="W93" s="16">
        <f>(Central!W91*'Weighted 2'!$F$8)+(Step!W91*'Weighted 2'!$G$8)+(Slow!W91*'Weighted 2'!$H$8)</f>
        <v>0</v>
      </c>
      <c r="X93" s="16">
        <f>(Central!X91*'Weighted 2'!$F$8)+(Step!X91*'Weighted 2'!$G$8)+(Slow!X91*'Weighted 2'!$H$8)</f>
        <v>0</v>
      </c>
      <c r="Y93" s="16">
        <f>(Central!Y91*'Weighted 2'!$F$8)+(Step!Y91*'Weighted 2'!$G$8)+(Slow!Y91*'Weighted 2'!$H$8)</f>
        <v>0</v>
      </c>
      <c r="Z93" s="16">
        <f>(Central!Z91*'Weighted 2'!$F$8)+(Step!Z91*'Weighted 2'!$G$8)+(Slow!Z91*'Weighted 2'!$H$8)</f>
        <v>0</v>
      </c>
      <c r="AA93" s="16">
        <f>(Central!AA91*'Weighted 2'!$F$8)+(Step!AA91*'Weighted 2'!$G$8)+(Slow!AA91*'Weighted 2'!$H$8)</f>
        <v>0</v>
      </c>
      <c r="AB93" s="16">
        <f>(Central!AB91*'Weighted 2'!$F$8)+(Step!AB91*'Weighted 2'!$G$8)+(Slow!AB91*'Weighted 2'!$H$8)</f>
        <v>0</v>
      </c>
      <c r="AC93" s="16">
        <f>(Central!AC91*'Weighted 2'!$F$8)+(Step!AC91*'Weighted 2'!$G$8)+(Slow!AC91*'Weighted 2'!$H$8)</f>
        <v>0</v>
      </c>
      <c r="AD93" s="16">
        <f>(Central!AD91*'Weighted 2'!$F$8)+(Step!AD91*'Weighted 2'!$G$8)+(Slow!AD91*'Weighted 2'!$H$8)</f>
        <v>0</v>
      </c>
      <c r="AE93" s="16">
        <f>(Central!AE91*'Weighted 2'!$F$8)+(Step!AE91*'Weighted 2'!$G$8)+(Slow!AE91*'Weighted 2'!$H$8)</f>
        <v>0</v>
      </c>
      <c r="AF93" s="16">
        <f>(Central!AF91*'Weighted 2'!$F$8)+(Step!AF91*'Weighted 2'!$G$8)+(Slow!AF91*'Weighted 2'!$H$8)</f>
        <v>0</v>
      </c>
    </row>
    <row r="94" spans="1:32" x14ac:dyDescent="0.2">
      <c r="A94" s="189"/>
      <c r="B94" s="172">
        <f>+'Option inputs'!$B$20</f>
        <v>6</v>
      </c>
      <c r="C94" s="13" t="str">
        <f>+'Option inputs'!$C$20</f>
        <v>Option 5</v>
      </c>
      <c r="D94" s="164"/>
      <c r="E94" s="173" t="s">
        <v>35</v>
      </c>
      <c r="F94" s="17">
        <f>Central!F92*'Weighted 2'!$F$8+Step!F92*'Weighted 2'!$G$8+Slow!F92*'Weighted 2'!$H$8</f>
        <v>0</v>
      </c>
      <c r="G94" s="16" t="e">
        <f>(Central!G92*'Weighted 2'!$F$8)+(Step!G92*'Weighted 2'!$G$8)+(Slow!G92*'Weighted 2'!$H$8)</f>
        <v>#VALUE!</v>
      </c>
      <c r="H94" s="16">
        <f>(Central!H92*'Weighted 2'!$F$8)+(Step!H92*'Weighted 2'!$G$8)+(Slow!H92*'Weighted 2'!$H$8)</f>
        <v>0</v>
      </c>
      <c r="I94" s="16">
        <f>(Central!I92*'Weighted 2'!$F$8)+(Step!I92*'Weighted 2'!$G$8)+(Slow!I92*'Weighted 2'!$H$8)</f>
        <v>0</v>
      </c>
      <c r="J94" s="16">
        <f>(Central!J92*'Weighted 2'!$F$8)+(Step!J92*'Weighted 2'!$G$8)+(Slow!J92*'Weighted 2'!$H$8)</f>
        <v>0</v>
      </c>
      <c r="K94" s="16">
        <f>(Central!K92*'Weighted 2'!$F$8)+(Step!K92*'Weighted 2'!$G$8)+(Slow!K92*'Weighted 2'!$H$8)</f>
        <v>0</v>
      </c>
      <c r="L94" s="16">
        <f>(Central!L92*'Weighted 2'!$F$8)+(Step!L92*'Weighted 2'!$G$8)+(Slow!L92*'Weighted 2'!$H$8)</f>
        <v>0</v>
      </c>
      <c r="M94" s="16">
        <f>(Central!M92*'Weighted 2'!$F$8)+(Step!M92*'Weighted 2'!$G$8)+(Slow!M92*'Weighted 2'!$H$8)</f>
        <v>0</v>
      </c>
      <c r="N94" s="16">
        <f>(Central!N92*'Weighted 2'!$F$8)+(Step!N92*'Weighted 2'!$G$8)+(Slow!N92*'Weighted 2'!$H$8)</f>
        <v>0</v>
      </c>
      <c r="O94" s="16">
        <f>(Central!O92*'Weighted 2'!$F$8)+(Step!O92*'Weighted 2'!$G$8)+(Slow!O92*'Weighted 2'!$H$8)</f>
        <v>0</v>
      </c>
      <c r="P94" s="16">
        <f>(Central!P92*'Weighted 2'!$F$8)+(Step!P92*'Weighted 2'!$G$8)+(Slow!P92*'Weighted 2'!$H$8)</f>
        <v>0</v>
      </c>
      <c r="Q94" s="16">
        <f>(Central!Q92*'Weighted 2'!$F$8)+(Step!Q92*'Weighted 2'!$G$8)+(Slow!Q92*'Weighted 2'!$H$8)</f>
        <v>0</v>
      </c>
      <c r="R94" s="16">
        <f>(Central!R92*'Weighted 2'!$F$8)+(Step!R92*'Weighted 2'!$G$8)+(Slow!R92*'Weighted 2'!$H$8)</f>
        <v>0</v>
      </c>
      <c r="S94" s="16">
        <f>(Central!S92*'Weighted 2'!$F$8)+(Step!S92*'Weighted 2'!$G$8)+(Slow!S92*'Weighted 2'!$H$8)</f>
        <v>0</v>
      </c>
      <c r="T94" s="16">
        <f>(Central!T92*'Weighted 2'!$F$8)+(Step!T92*'Weighted 2'!$G$8)+(Slow!T92*'Weighted 2'!$H$8)</f>
        <v>0</v>
      </c>
      <c r="U94" s="16">
        <f>(Central!U92*'Weighted 2'!$F$8)+(Step!U92*'Weighted 2'!$G$8)+(Slow!U92*'Weighted 2'!$H$8)</f>
        <v>0</v>
      </c>
      <c r="V94" s="16">
        <f>(Central!V92*'Weighted 2'!$F$8)+(Step!V92*'Weighted 2'!$G$8)+(Slow!V92*'Weighted 2'!$H$8)</f>
        <v>0</v>
      </c>
      <c r="W94" s="16">
        <f>(Central!W92*'Weighted 2'!$F$8)+(Step!W92*'Weighted 2'!$G$8)+(Slow!W92*'Weighted 2'!$H$8)</f>
        <v>0</v>
      </c>
      <c r="X94" s="16">
        <f>(Central!X92*'Weighted 2'!$F$8)+(Step!X92*'Weighted 2'!$G$8)+(Slow!X92*'Weighted 2'!$H$8)</f>
        <v>0</v>
      </c>
      <c r="Y94" s="16">
        <f>(Central!Y92*'Weighted 2'!$F$8)+(Step!Y92*'Weighted 2'!$G$8)+(Slow!Y92*'Weighted 2'!$H$8)</f>
        <v>0</v>
      </c>
      <c r="Z94" s="16">
        <f>(Central!Z92*'Weighted 2'!$F$8)+(Step!Z92*'Weighted 2'!$G$8)+(Slow!Z92*'Weighted 2'!$H$8)</f>
        <v>0</v>
      </c>
      <c r="AA94" s="16">
        <f>(Central!AA92*'Weighted 2'!$F$8)+(Step!AA92*'Weighted 2'!$G$8)+(Slow!AA92*'Weighted 2'!$H$8)</f>
        <v>0</v>
      </c>
      <c r="AB94" s="16">
        <f>(Central!AB92*'Weighted 2'!$F$8)+(Step!AB92*'Weighted 2'!$G$8)+(Slow!AB92*'Weighted 2'!$H$8)</f>
        <v>0</v>
      </c>
      <c r="AC94" s="16">
        <f>(Central!AC92*'Weighted 2'!$F$8)+(Step!AC92*'Weighted 2'!$G$8)+(Slow!AC92*'Weighted 2'!$H$8)</f>
        <v>0</v>
      </c>
      <c r="AD94" s="16">
        <f>(Central!AD92*'Weighted 2'!$F$8)+(Step!AD92*'Weighted 2'!$G$8)+(Slow!AD92*'Weighted 2'!$H$8)</f>
        <v>0</v>
      </c>
      <c r="AE94" s="16">
        <f>(Central!AE92*'Weighted 2'!$F$8)+(Step!AE92*'Weighted 2'!$G$8)+(Slow!AE92*'Weighted 2'!$H$8)</f>
        <v>0</v>
      </c>
      <c r="AF94" s="16">
        <f>(Central!AF92*'Weighted 2'!$F$8)+(Step!AF92*'Weighted 2'!$G$8)+(Slow!AF92*'Weighted 2'!$H$8)</f>
        <v>0</v>
      </c>
    </row>
    <row r="95" spans="1:32" x14ac:dyDescent="0.2">
      <c r="A95" s="149"/>
      <c r="B95" s="172" t="e">
        <f>+'Option inputs'!#REF!</f>
        <v>#REF!</v>
      </c>
      <c r="C95" s="13" t="e">
        <f>+'Option inputs'!#REF!</f>
        <v>#REF!</v>
      </c>
      <c r="D95" s="164"/>
      <c r="E95" s="173" t="s">
        <v>35</v>
      </c>
      <c r="F95" s="17" t="e">
        <f>Central!#REF!*'Weighted 2'!$F$8+Step!#REF!*'Weighted 2'!$G$8+Slow!#REF!*'Weighted 2'!$H$8</f>
        <v>#REF!</v>
      </c>
      <c r="G95" s="16" t="e">
        <f>(Central!#REF!*'Weighted 2'!$F$8)+(Step!#REF!*'Weighted 2'!$G$8)+(Slow!#REF!*'Weighted 2'!$H$8)</f>
        <v>#REF!</v>
      </c>
      <c r="H95" s="16" t="e">
        <f>(Central!#REF!*'Weighted 2'!$F$8)+(Step!#REF!*'Weighted 2'!$G$8)+(Slow!#REF!*'Weighted 2'!$H$8)</f>
        <v>#REF!</v>
      </c>
      <c r="I95" s="16" t="e">
        <f>(Central!#REF!*'Weighted 2'!$F$8)+(Step!#REF!*'Weighted 2'!$G$8)+(Slow!#REF!*'Weighted 2'!$H$8)</f>
        <v>#REF!</v>
      </c>
      <c r="J95" s="16" t="e">
        <f>(Central!#REF!*'Weighted 2'!$F$8)+(Step!#REF!*'Weighted 2'!$G$8)+(Slow!#REF!*'Weighted 2'!$H$8)</f>
        <v>#REF!</v>
      </c>
      <c r="K95" s="16" t="e">
        <f>(Central!#REF!*'Weighted 2'!$F$8)+(Step!#REF!*'Weighted 2'!$G$8)+(Slow!#REF!*'Weighted 2'!$H$8)</f>
        <v>#REF!</v>
      </c>
      <c r="L95" s="16" t="e">
        <f>(Central!#REF!*'Weighted 2'!$F$8)+(Step!#REF!*'Weighted 2'!$G$8)+(Slow!#REF!*'Weighted 2'!$H$8)</f>
        <v>#REF!</v>
      </c>
      <c r="M95" s="16" t="e">
        <f>(Central!#REF!*'Weighted 2'!$F$8)+(Step!#REF!*'Weighted 2'!$G$8)+(Slow!#REF!*'Weighted 2'!$H$8)</f>
        <v>#REF!</v>
      </c>
      <c r="N95" s="16" t="e">
        <f>(Central!#REF!*'Weighted 2'!$F$8)+(Step!#REF!*'Weighted 2'!$G$8)+(Slow!#REF!*'Weighted 2'!$H$8)</f>
        <v>#REF!</v>
      </c>
      <c r="O95" s="16" t="e">
        <f>(Central!#REF!*'Weighted 2'!$F$8)+(Step!#REF!*'Weighted 2'!$G$8)+(Slow!#REF!*'Weighted 2'!$H$8)</f>
        <v>#REF!</v>
      </c>
      <c r="P95" s="16" t="e">
        <f>(Central!#REF!*'Weighted 2'!$F$8)+(Step!#REF!*'Weighted 2'!$G$8)+(Slow!#REF!*'Weighted 2'!$H$8)</f>
        <v>#REF!</v>
      </c>
      <c r="Q95" s="16" t="e">
        <f>(Central!#REF!*'Weighted 2'!$F$8)+(Step!#REF!*'Weighted 2'!$G$8)+(Slow!#REF!*'Weighted 2'!$H$8)</f>
        <v>#REF!</v>
      </c>
      <c r="R95" s="16" t="e">
        <f>(Central!#REF!*'Weighted 2'!$F$8)+(Step!#REF!*'Weighted 2'!$G$8)+(Slow!#REF!*'Weighted 2'!$H$8)</f>
        <v>#REF!</v>
      </c>
      <c r="S95" s="16" t="e">
        <f>(Central!#REF!*'Weighted 2'!$F$8)+(Step!#REF!*'Weighted 2'!$G$8)+(Slow!#REF!*'Weighted 2'!$H$8)</f>
        <v>#REF!</v>
      </c>
      <c r="T95" s="16" t="e">
        <f>(Central!#REF!*'Weighted 2'!$F$8)+(Step!#REF!*'Weighted 2'!$G$8)+(Slow!#REF!*'Weighted 2'!$H$8)</f>
        <v>#REF!</v>
      </c>
      <c r="U95" s="16" t="e">
        <f>(Central!#REF!*'Weighted 2'!$F$8)+(Step!#REF!*'Weighted 2'!$G$8)+(Slow!#REF!*'Weighted 2'!$H$8)</f>
        <v>#REF!</v>
      </c>
      <c r="V95" s="16" t="e">
        <f>(Central!#REF!*'Weighted 2'!$F$8)+(Step!#REF!*'Weighted 2'!$G$8)+(Slow!#REF!*'Weighted 2'!$H$8)</f>
        <v>#REF!</v>
      </c>
      <c r="W95" s="16" t="e">
        <f>(Central!#REF!*'Weighted 2'!$F$8)+(Step!#REF!*'Weighted 2'!$G$8)+(Slow!#REF!*'Weighted 2'!$H$8)</f>
        <v>#REF!</v>
      </c>
      <c r="X95" s="16" t="e">
        <f>(Central!#REF!*'Weighted 2'!$F$8)+(Step!#REF!*'Weighted 2'!$G$8)+(Slow!#REF!*'Weighted 2'!$H$8)</f>
        <v>#REF!</v>
      </c>
      <c r="Y95" s="16" t="e">
        <f>(Central!#REF!*'Weighted 2'!$F$8)+(Step!#REF!*'Weighted 2'!$G$8)+(Slow!#REF!*'Weighted 2'!$H$8)</f>
        <v>#REF!</v>
      </c>
      <c r="Z95" s="16" t="e">
        <f>(Central!#REF!*'Weighted 2'!$F$8)+(Step!#REF!*'Weighted 2'!$G$8)+(Slow!#REF!*'Weighted 2'!$H$8)</f>
        <v>#REF!</v>
      </c>
      <c r="AA95" s="16" t="e">
        <f>(Central!#REF!*'Weighted 2'!$F$8)+(Step!#REF!*'Weighted 2'!$G$8)+(Slow!#REF!*'Weighted 2'!$H$8)</f>
        <v>#REF!</v>
      </c>
      <c r="AB95" s="16" t="e">
        <f>(Central!#REF!*'Weighted 2'!$F$8)+(Step!#REF!*'Weighted 2'!$G$8)+(Slow!#REF!*'Weighted 2'!$H$8)</f>
        <v>#REF!</v>
      </c>
      <c r="AC95" s="16" t="e">
        <f>(Central!#REF!*'Weighted 2'!$F$8)+(Step!#REF!*'Weighted 2'!$G$8)+(Slow!#REF!*'Weighted 2'!$H$8)</f>
        <v>#REF!</v>
      </c>
      <c r="AD95" s="16" t="e">
        <f>(Central!#REF!*'Weighted 2'!$F$8)+(Step!#REF!*'Weighted 2'!$G$8)+(Slow!#REF!*'Weighted 2'!$H$8)</f>
        <v>#REF!</v>
      </c>
      <c r="AE95" s="16" t="e">
        <f>(Central!#REF!*'Weighted 2'!$F$8)+(Step!#REF!*'Weighted 2'!$G$8)+(Slow!#REF!*'Weighted 2'!$H$8)</f>
        <v>#REF!</v>
      </c>
      <c r="AF95" s="16" t="e">
        <f>(Central!#REF!*'Weighted 2'!$F$8)+(Step!#REF!*'Weighted 2'!$G$8)+(Slow!#REF!*'Weighted 2'!$H$8)</f>
        <v>#REF!</v>
      </c>
    </row>
    <row r="96" spans="1:32" x14ac:dyDescent="0.2">
      <c r="A96" s="149"/>
      <c r="B96" s="172" t="e">
        <f>+'Option inputs'!#REF!</f>
        <v>#REF!</v>
      </c>
      <c r="C96" s="13" t="e">
        <f>+'Option inputs'!#REF!</f>
        <v>#REF!</v>
      </c>
      <c r="D96" s="164"/>
      <c r="E96" s="173" t="s">
        <v>35</v>
      </c>
      <c r="F96" s="17" t="e">
        <f>Central!#REF!*'Weighted 2'!$F$8+Step!#REF!*'Weighted 2'!$G$8+Slow!#REF!*'Weighted 2'!$H$8</f>
        <v>#REF!</v>
      </c>
      <c r="G96" s="16" t="e">
        <f>(Central!#REF!*'Weighted 2'!$F$8)+(Step!#REF!*'Weighted 2'!$G$8)+(Slow!#REF!*'Weighted 2'!$H$8)</f>
        <v>#REF!</v>
      </c>
      <c r="H96" s="16" t="e">
        <f>(Central!#REF!*'Weighted 2'!$F$8)+(Step!#REF!*'Weighted 2'!$G$8)+(Slow!#REF!*'Weighted 2'!$H$8)</f>
        <v>#REF!</v>
      </c>
      <c r="I96" s="16" t="e">
        <f>(Central!#REF!*'Weighted 2'!$F$8)+(Step!#REF!*'Weighted 2'!$G$8)+(Slow!#REF!*'Weighted 2'!$H$8)</f>
        <v>#REF!</v>
      </c>
      <c r="J96" s="16" t="e">
        <f>(Central!#REF!*'Weighted 2'!$F$8)+(Step!#REF!*'Weighted 2'!$G$8)+(Slow!#REF!*'Weighted 2'!$H$8)</f>
        <v>#REF!</v>
      </c>
      <c r="K96" s="16" t="e">
        <f>(Central!#REF!*'Weighted 2'!$F$8)+(Step!#REF!*'Weighted 2'!$G$8)+(Slow!#REF!*'Weighted 2'!$H$8)</f>
        <v>#REF!</v>
      </c>
      <c r="L96" s="16" t="e">
        <f>(Central!#REF!*'Weighted 2'!$F$8)+(Step!#REF!*'Weighted 2'!$G$8)+(Slow!#REF!*'Weighted 2'!$H$8)</f>
        <v>#REF!</v>
      </c>
      <c r="M96" s="16" t="e">
        <f>(Central!#REF!*'Weighted 2'!$F$8)+(Step!#REF!*'Weighted 2'!$G$8)+(Slow!#REF!*'Weighted 2'!$H$8)</f>
        <v>#REF!</v>
      </c>
      <c r="N96" s="16" t="e">
        <f>(Central!#REF!*'Weighted 2'!$F$8)+(Step!#REF!*'Weighted 2'!$G$8)+(Slow!#REF!*'Weighted 2'!$H$8)</f>
        <v>#REF!</v>
      </c>
      <c r="O96" s="16" t="e">
        <f>(Central!#REF!*'Weighted 2'!$F$8)+(Step!#REF!*'Weighted 2'!$G$8)+(Slow!#REF!*'Weighted 2'!$H$8)</f>
        <v>#REF!</v>
      </c>
      <c r="P96" s="16" t="e">
        <f>(Central!#REF!*'Weighted 2'!$F$8)+(Step!#REF!*'Weighted 2'!$G$8)+(Slow!#REF!*'Weighted 2'!$H$8)</f>
        <v>#REF!</v>
      </c>
      <c r="Q96" s="16" t="e">
        <f>(Central!#REF!*'Weighted 2'!$F$8)+(Step!#REF!*'Weighted 2'!$G$8)+(Slow!#REF!*'Weighted 2'!$H$8)</f>
        <v>#REF!</v>
      </c>
      <c r="R96" s="16" t="e">
        <f>(Central!#REF!*'Weighted 2'!$F$8)+(Step!#REF!*'Weighted 2'!$G$8)+(Slow!#REF!*'Weighted 2'!$H$8)</f>
        <v>#REF!</v>
      </c>
      <c r="S96" s="16" t="e">
        <f>(Central!#REF!*'Weighted 2'!$F$8)+(Step!#REF!*'Weighted 2'!$G$8)+(Slow!#REF!*'Weighted 2'!$H$8)</f>
        <v>#REF!</v>
      </c>
      <c r="T96" s="16" t="e">
        <f>(Central!#REF!*'Weighted 2'!$F$8)+(Step!#REF!*'Weighted 2'!$G$8)+(Slow!#REF!*'Weighted 2'!$H$8)</f>
        <v>#REF!</v>
      </c>
      <c r="U96" s="16" t="e">
        <f>(Central!#REF!*'Weighted 2'!$F$8)+(Step!#REF!*'Weighted 2'!$G$8)+(Slow!#REF!*'Weighted 2'!$H$8)</f>
        <v>#REF!</v>
      </c>
      <c r="V96" s="16" t="e">
        <f>(Central!#REF!*'Weighted 2'!$F$8)+(Step!#REF!*'Weighted 2'!$G$8)+(Slow!#REF!*'Weighted 2'!$H$8)</f>
        <v>#REF!</v>
      </c>
      <c r="W96" s="16" t="e">
        <f>(Central!#REF!*'Weighted 2'!$F$8)+(Step!#REF!*'Weighted 2'!$G$8)+(Slow!#REF!*'Weighted 2'!$H$8)</f>
        <v>#REF!</v>
      </c>
      <c r="X96" s="16" t="e">
        <f>(Central!#REF!*'Weighted 2'!$F$8)+(Step!#REF!*'Weighted 2'!$G$8)+(Slow!#REF!*'Weighted 2'!$H$8)</f>
        <v>#REF!</v>
      </c>
      <c r="Y96" s="16" t="e">
        <f>(Central!#REF!*'Weighted 2'!$F$8)+(Step!#REF!*'Weighted 2'!$G$8)+(Slow!#REF!*'Weighted 2'!$H$8)</f>
        <v>#REF!</v>
      </c>
      <c r="Z96" s="16" t="e">
        <f>(Central!#REF!*'Weighted 2'!$F$8)+(Step!#REF!*'Weighted 2'!$G$8)+(Slow!#REF!*'Weighted 2'!$H$8)</f>
        <v>#REF!</v>
      </c>
      <c r="AA96" s="16" t="e">
        <f>(Central!#REF!*'Weighted 2'!$F$8)+(Step!#REF!*'Weighted 2'!$G$8)+(Slow!#REF!*'Weighted 2'!$H$8)</f>
        <v>#REF!</v>
      </c>
      <c r="AB96" s="16" t="e">
        <f>(Central!#REF!*'Weighted 2'!$F$8)+(Step!#REF!*'Weighted 2'!$G$8)+(Slow!#REF!*'Weighted 2'!$H$8)</f>
        <v>#REF!</v>
      </c>
      <c r="AC96" s="16" t="e">
        <f>(Central!#REF!*'Weighted 2'!$F$8)+(Step!#REF!*'Weighted 2'!$G$8)+(Slow!#REF!*'Weighted 2'!$H$8)</f>
        <v>#REF!</v>
      </c>
      <c r="AD96" s="16" t="e">
        <f>(Central!#REF!*'Weighted 2'!$F$8)+(Step!#REF!*'Weighted 2'!$G$8)+(Slow!#REF!*'Weighted 2'!$H$8)</f>
        <v>#REF!</v>
      </c>
      <c r="AE96" s="16" t="e">
        <f>(Central!#REF!*'Weighted 2'!$F$8)+(Step!#REF!*'Weighted 2'!$G$8)+(Slow!#REF!*'Weighted 2'!$H$8)</f>
        <v>#REF!</v>
      </c>
      <c r="AF96" s="16" t="e">
        <f>(Central!#REF!*'Weighted 2'!$F$8)+(Step!#REF!*'Weighted 2'!$G$8)+(Slow!#REF!*'Weighted 2'!$H$8)</f>
        <v>#REF!</v>
      </c>
    </row>
    <row r="97" spans="1:32" x14ac:dyDescent="0.2">
      <c r="A97" s="149"/>
      <c r="B97" s="172" t="e">
        <f>+'Option inputs'!#REF!</f>
        <v>#REF!</v>
      </c>
      <c r="C97" s="13" t="e">
        <f>+'Option inputs'!#REF!</f>
        <v>#REF!</v>
      </c>
      <c r="D97" s="164"/>
      <c r="E97" s="173" t="s">
        <v>35</v>
      </c>
      <c r="F97" s="17" t="e">
        <f>Central!#REF!*'Weighted 2'!$F$8+Step!#REF!*'Weighted 2'!$G$8+Slow!#REF!*'Weighted 2'!$H$8</f>
        <v>#REF!</v>
      </c>
      <c r="G97" s="16" t="e">
        <f>(Central!#REF!*'Weighted 2'!$F$8)+(Step!#REF!*'Weighted 2'!$G$8)+(Slow!#REF!*'Weighted 2'!$H$8)</f>
        <v>#REF!</v>
      </c>
      <c r="H97" s="16" t="e">
        <f>(Central!#REF!*'Weighted 2'!$F$8)+(Step!#REF!*'Weighted 2'!$G$8)+(Slow!#REF!*'Weighted 2'!$H$8)</f>
        <v>#REF!</v>
      </c>
      <c r="I97" s="16" t="e">
        <f>(Central!#REF!*'Weighted 2'!$F$8)+(Step!#REF!*'Weighted 2'!$G$8)+(Slow!#REF!*'Weighted 2'!$H$8)</f>
        <v>#REF!</v>
      </c>
      <c r="J97" s="16" t="e">
        <f>(Central!#REF!*'Weighted 2'!$F$8)+(Step!#REF!*'Weighted 2'!$G$8)+(Slow!#REF!*'Weighted 2'!$H$8)</f>
        <v>#REF!</v>
      </c>
      <c r="K97" s="16" t="e">
        <f>(Central!#REF!*'Weighted 2'!$F$8)+(Step!#REF!*'Weighted 2'!$G$8)+(Slow!#REF!*'Weighted 2'!$H$8)</f>
        <v>#REF!</v>
      </c>
      <c r="L97" s="16" t="e">
        <f>(Central!#REF!*'Weighted 2'!$F$8)+(Step!#REF!*'Weighted 2'!$G$8)+(Slow!#REF!*'Weighted 2'!$H$8)</f>
        <v>#REF!</v>
      </c>
      <c r="M97" s="16" t="e">
        <f>(Central!#REF!*'Weighted 2'!$F$8)+(Step!#REF!*'Weighted 2'!$G$8)+(Slow!#REF!*'Weighted 2'!$H$8)</f>
        <v>#REF!</v>
      </c>
      <c r="N97" s="16" t="e">
        <f>(Central!#REF!*'Weighted 2'!$F$8)+(Step!#REF!*'Weighted 2'!$G$8)+(Slow!#REF!*'Weighted 2'!$H$8)</f>
        <v>#REF!</v>
      </c>
      <c r="O97" s="16" t="e">
        <f>(Central!#REF!*'Weighted 2'!$F$8)+(Step!#REF!*'Weighted 2'!$G$8)+(Slow!#REF!*'Weighted 2'!$H$8)</f>
        <v>#REF!</v>
      </c>
      <c r="P97" s="16" t="e">
        <f>(Central!#REF!*'Weighted 2'!$F$8)+(Step!#REF!*'Weighted 2'!$G$8)+(Slow!#REF!*'Weighted 2'!$H$8)</f>
        <v>#REF!</v>
      </c>
      <c r="Q97" s="16" t="e">
        <f>(Central!#REF!*'Weighted 2'!$F$8)+(Step!#REF!*'Weighted 2'!$G$8)+(Slow!#REF!*'Weighted 2'!$H$8)</f>
        <v>#REF!</v>
      </c>
      <c r="R97" s="16" t="e">
        <f>(Central!#REF!*'Weighted 2'!$F$8)+(Step!#REF!*'Weighted 2'!$G$8)+(Slow!#REF!*'Weighted 2'!$H$8)</f>
        <v>#REF!</v>
      </c>
      <c r="S97" s="16" t="e">
        <f>(Central!#REF!*'Weighted 2'!$F$8)+(Step!#REF!*'Weighted 2'!$G$8)+(Slow!#REF!*'Weighted 2'!$H$8)</f>
        <v>#REF!</v>
      </c>
      <c r="T97" s="16" t="e">
        <f>(Central!#REF!*'Weighted 2'!$F$8)+(Step!#REF!*'Weighted 2'!$G$8)+(Slow!#REF!*'Weighted 2'!$H$8)</f>
        <v>#REF!</v>
      </c>
      <c r="U97" s="16" t="e">
        <f>(Central!#REF!*'Weighted 2'!$F$8)+(Step!#REF!*'Weighted 2'!$G$8)+(Slow!#REF!*'Weighted 2'!$H$8)</f>
        <v>#REF!</v>
      </c>
      <c r="V97" s="16" t="e">
        <f>(Central!#REF!*'Weighted 2'!$F$8)+(Step!#REF!*'Weighted 2'!$G$8)+(Slow!#REF!*'Weighted 2'!$H$8)</f>
        <v>#REF!</v>
      </c>
      <c r="W97" s="16" t="e">
        <f>(Central!#REF!*'Weighted 2'!$F$8)+(Step!#REF!*'Weighted 2'!$G$8)+(Slow!#REF!*'Weighted 2'!$H$8)</f>
        <v>#REF!</v>
      </c>
      <c r="X97" s="16" t="e">
        <f>(Central!#REF!*'Weighted 2'!$F$8)+(Step!#REF!*'Weighted 2'!$G$8)+(Slow!#REF!*'Weighted 2'!$H$8)</f>
        <v>#REF!</v>
      </c>
      <c r="Y97" s="16" t="e">
        <f>(Central!#REF!*'Weighted 2'!$F$8)+(Step!#REF!*'Weighted 2'!$G$8)+(Slow!#REF!*'Weighted 2'!$H$8)</f>
        <v>#REF!</v>
      </c>
      <c r="Z97" s="16" t="e">
        <f>(Central!#REF!*'Weighted 2'!$F$8)+(Step!#REF!*'Weighted 2'!$G$8)+(Slow!#REF!*'Weighted 2'!$H$8)</f>
        <v>#REF!</v>
      </c>
      <c r="AA97" s="16" t="e">
        <f>(Central!#REF!*'Weighted 2'!$F$8)+(Step!#REF!*'Weighted 2'!$G$8)+(Slow!#REF!*'Weighted 2'!$H$8)</f>
        <v>#REF!</v>
      </c>
      <c r="AB97" s="16" t="e">
        <f>(Central!#REF!*'Weighted 2'!$F$8)+(Step!#REF!*'Weighted 2'!$G$8)+(Slow!#REF!*'Weighted 2'!$H$8)</f>
        <v>#REF!</v>
      </c>
      <c r="AC97" s="16" t="e">
        <f>(Central!#REF!*'Weighted 2'!$F$8)+(Step!#REF!*'Weighted 2'!$G$8)+(Slow!#REF!*'Weighted 2'!$H$8)</f>
        <v>#REF!</v>
      </c>
      <c r="AD97" s="16" t="e">
        <f>(Central!#REF!*'Weighted 2'!$F$8)+(Step!#REF!*'Weighted 2'!$G$8)+(Slow!#REF!*'Weighted 2'!$H$8)</f>
        <v>#REF!</v>
      </c>
      <c r="AE97" s="16" t="e">
        <f>(Central!#REF!*'Weighted 2'!$F$8)+(Step!#REF!*'Weighted 2'!$G$8)+(Slow!#REF!*'Weighted 2'!$H$8)</f>
        <v>#REF!</v>
      </c>
      <c r="AF97" s="16" t="e">
        <f>(Central!#REF!*'Weighted 2'!$F$8)+(Step!#REF!*'Weighted 2'!$G$8)+(Slow!#REF!*'Weighted 2'!$H$8)</f>
        <v>#REF!</v>
      </c>
    </row>
    <row r="98" spans="1:32" x14ac:dyDescent="0.2">
      <c r="A98" s="149"/>
      <c r="B98" s="172" t="e">
        <f>+'Option inputs'!#REF!</f>
        <v>#REF!</v>
      </c>
      <c r="C98" s="13" t="e">
        <f>+'Option inputs'!#REF!</f>
        <v>#REF!</v>
      </c>
      <c r="D98" s="164"/>
      <c r="E98" s="173" t="s">
        <v>35</v>
      </c>
      <c r="F98" s="17" t="e">
        <f>Central!#REF!*'Weighted 2'!$F$8+Step!#REF!*'Weighted 2'!$G$8+Slow!#REF!*'Weighted 2'!$H$8</f>
        <v>#REF!</v>
      </c>
      <c r="G98" s="16" t="e">
        <f>(Central!#REF!*'Weighted 2'!$F$8)+(Step!#REF!*'Weighted 2'!$G$8)+(Slow!#REF!*'Weighted 2'!$H$8)</f>
        <v>#REF!</v>
      </c>
      <c r="H98" s="16" t="e">
        <f>(Central!#REF!*'Weighted 2'!$F$8)+(Step!#REF!*'Weighted 2'!$G$8)+(Slow!#REF!*'Weighted 2'!$H$8)</f>
        <v>#REF!</v>
      </c>
      <c r="I98" s="16" t="e">
        <f>(Central!#REF!*'Weighted 2'!$F$8)+(Step!#REF!*'Weighted 2'!$G$8)+(Slow!#REF!*'Weighted 2'!$H$8)</f>
        <v>#REF!</v>
      </c>
      <c r="J98" s="16" t="e">
        <f>(Central!#REF!*'Weighted 2'!$F$8)+(Step!#REF!*'Weighted 2'!$G$8)+(Slow!#REF!*'Weighted 2'!$H$8)</f>
        <v>#REF!</v>
      </c>
      <c r="K98" s="16" t="e">
        <f>(Central!#REF!*'Weighted 2'!$F$8)+(Step!#REF!*'Weighted 2'!$G$8)+(Slow!#REF!*'Weighted 2'!$H$8)</f>
        <v>#REF!</v>
      </c>
      <c r="L98" s="16" t="e">
        <f>(Central!#REF!*'Weighted 2'!$F$8)+(Step!#REF!*'Weighted 2'!$G$8)+(Slow!#REF!*'Weighted 2'!$H$8)</f>
        <v>#REF!</v>
      </c>
      <c r="M98" s="16" t="e">
        <f>(Central!#REF!*'Weighted 2'!$F$8)+(Step!#REF!*'Weighted 2'!$G$8)+(Slow!#REF!*'Weighted 2'!$H$8)</f>
        <v>#REF!</v>
      </c>
      <c r="N98" s="16" t="e">
        <f>(Central!#REF!*'Weighted 2'!$F$8)+(Step!#REF!*'Weighted 2'!$G$8)+(Slow!#REF!*'Weighted 2'!$H$8)</f>
        <v>#REF!</v>
      </c>
      <c r="O98" s="16" t="e">
        <f>(Central!#REF!*'Weighted 2'!$F$8)+(Step!#REF!*'Weighted 2'!$G$8)+(Slow!#REF!*'Weighted 2'!$H$8)</f>
        <v>#REF!</v>
      </c>
      <c r="P98" s="16" t="e">
        <f>(Central!#REF!*'Weighted 2'!$F$8)+(Step!#REF!*'Weighted 2'!$G$8)+(Slow!#REF!*'Weighted 2'!$H$8)</f>
        <v>#REF!</v>
      </c>
      <c r="Q98" s="16" t="e">
        <f>(Central!#REF!*'Weighted 2'!$F$8)+(Step!#REF!*'Weighted 2'!$G$8)+(Slow!#REF!*'Weighted 2'!$H$8)</f>
        <v>#REF!</v>
      </c>
      <c r="R98" s="16" t="e">
        <f>(Central!#REF!*'Weighted 2'!$F$8)+(Step!#REF!*'Weighted 2'!$G$8)+(Slow!#REF!*'Weighted 2'!$H$8)</f>
        <v>#REF!</v>
      </c>
      <c r="S98" s="16" t="e">
        <f>(Central!#REF!*'Weighted 2'!$F$8)+(Step!#REF!*'Weighted 2'!$G$8)+(Slow!#REF!*'Weighted 2'!$H$8)</f>
        <v>#REF!</v>
      </c>
      <c r="T98" s="16" t="e">
        <f>(Central!#REF!*'Weighted 2'!$F$8)+(Step!#REF!*'Weighted 2'!$G$8)+(Slow!#REF!*'Weighted 2'!$H$8)</f>
        <v>#REF!</v>
      </c>
      <c r="U98" s="16" t="e">
        <f>(Central!#REF!*'Weighted 2'!$F$8)+(Step!#REF!*'Weighted 2'!$G$8)+(Slow!#REF!*'Weighted 2'!$H$8)</f>
        <v>#REF!</v>
      </c>
      <c r="V98" s="16" t="e">
        <f>(Central!#REF!*'Weighted 2'!$F$8)+(Step!#REF!*'Weighted 2'!$G$8)+(Slow!#REF!*'Weighted 2'!$H$8)</f>
        <v>#REF!</v>
      </c>
      <c r="W98" s="16" t="e">
        <f>(Central!#REF!*'Weighted 2'!$F$8)+(Step!#REF!*'Weighted 2'!$G$8)+(Slow!#REF!*'Weighted 2'!$H$8)</f>
        <v>#REF!</v>
      </c>
      <c r="X98" s="16" t="e">
        <f>(Central!#REF!*'Weighted 2'!$F$8)+(Step!#REF!*'Weighted 2'!$G$8)+(Slow!#REF!*'Weighted 2'!$H$8)</f>
        <v>#REF!</v>
      </c>
      <c r="Y98" s="16" t="e">
        <f>(Central!#REF!*'Weighted 2'!$F$8)+(Step!#REF!*'Weighted 2'!$G$8)+(Slow!#REF!*'Weighted 2'!$H$8)</f>
        <v>#REF!</v>
      </c>
      <c r="Z98" s="16" t="e">
        <f>(Central!#REF!*'Weighted 2'!$F$8)+(Step!#REF!*'Weighted 2'!$G$8)+(Slow!#REF!*'Weighted 2'!$H$8)</f>
        <v>#REF!</v>
      </c>
      <c r="AA98" s="16" t="e">
        <f>(Central!#REF!*'Weighted 2'!$F$8)+(Step!#REF!*'Weighted 2'!$G$8)+(Slow!#REF!*'Weighted 2'!$H$8)</f>
        <v>#REF!</v>
      </c>
      <c r="AB98" s="16" t="e">
        <f>(Central!#REF!*'Weighted 2'!$F$8)+(Step!#REF!*'Weighted 2'!$G$8)+(Slow!#REF!*'Weighted 2'!$H$8)</f>
        <v>#REF!</v>
      </c>
      <c r="AC98" s="16" t="e">
        <f>(Central!#REF!*'Weighted 2'!$F$8)+(Step!#REF!*'Weighted 2'!$G$8)+(Slow!#REF!*'Weighted 2'!$H$8)</f>
        <v>#REF!</v>
      </c>
      <c r="AD98" s="16" t="e">
        <f>(Central!#REF!*'Weighted 2'!$F$8)+(Step!#REF!*'Weighted 2'!$G$8)+(Slow!#REF!*'Weighted 2'!$H$8)</f>
        <v>#REF!</v>
      </c>
      <c r="AE98" s="16" t="e">
        <f>(Central!#REF!*'Weighted 2'!$F$8)+(Step!#REF!*'Weighted 2'!$G$8)+(Slow!#REF!*'Weighted 2'!$H$8)</f>
        <v>#REF!</v>
      </c>
      <c r="AF98" s="16" t="e">
        <f>(Central!#REF!*'Weighted 2'!$F$8)+(Step!#REF!*'Weighted 2'!$G$8)+(Slow!#REF!*'Weighted 2'!$H$8)</f>
        <v>#REF!</v>
      </c>
    </row>
    <row r="99" spans="1:32" x14ac:dyDescent="0.2">
      <c r="B99" s="161"/>
      <c r="C99" s="165"/>
      <c r="D99" s="165"/>
      <c r="E99" s="161"/>
      <c r="F99" s="126"/>
    </row>
    <row r="100" spans="1:32" ht="15.75" x14ac:dyDescent="0.25">
      <c r="B100" s="166" t="str">
        <f>+'CBA Inputs'!B184</f>
        <v>Difference in timing of unrelated expenditure</v>
      </c>
      <c r="C100" s="167"/>
      <c r="D100" s="167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</row>
    <row r="101" spans="1:32" ht="15.75" x14ac:dyDescent="0.25">
      <c r="B101" s="168" t="s">
        <v>14</v>
      </c>
      <c r="C101" s="169" t="s">
        <v>13</v>
      </c>
      <c r="D101" s="169"/>
      <c r="E101" s="170" t="s">
        <v>22</v>
      </c>
      <c r="F101" s="170" t="s">
        <v>37</v>
      </c>
      <c r="G101" s="171" t="str">
        <f>G$55</f>
        <v>FY 2020-21</v>
      </c>
      <c r="H101" s="171" t="str">
        <f t="shared" ref="H101:AF101" si="19">H$55</f>
        <v>FY 2021-22</v>
      </c>
      <c r="I101" s="171" t="str">
        <f t="shared" si="19"/>
        <v>FY 2022-23</v>
      </c>
      <c r="J101" s="171" t="str">
        <f t="shared" si="19"/>
        <v>FY 2023-24</v>
      </c>
      <c r="K101" s="171" t="str">
        <f t="shared" si="19"/>
        <v>FY 2024-25</v>
      </c>
      <c r="L101" s="171" t="str">
        <f t="shared" si="19"/>
        <v>FY 2025-26</v>
      </c>
      <c r="M101" s="171" t="str">
        <f t="shared" si="19"/>
        <v>FY 2026-27</v>
      </c>
      <c r="N101" s="171" t="str">
        <f t="shared" si="19"/>
        <v>FY 2027-28</v>
      </c>
      <c r="O101" s="171" t="str">
        <f t="shared" si="19"/>
        <v>FY 2028-29</v>
      </c>
      <c r="P101" s="171" t="str">
        <f t="shared" si="19"/>
        <v>FY 2029-30</v>
      </c>
      <c r="Q101" s="171" t="str">
        <f t="shared" si="19"/>
        <v>FY 2030-31</v>
      </c>
      <c r="R101" s="171" t="str">
        <f t="shared" si="19"/>
        <v>FY 2031-32</v>
      </c>
      <c r="S101" s="171" t="str">
        <f t="shared" si="19"/>
        <v>FY 2032-33</v>
      </c>
      <c r="T101" s="171" t="str">
        <f t="shared" si="19"/>
        <v>FY 2033-34</v>
      </c>
      <c r="U101" s="171" t="str">
        <f t="shared" si="19"/>
        <v>FY 2034-35</v>
      </c>
      <c r="V101" s="171" t="str">
        <f t="shared" si="19"/>
        <v>FY 2035-36</v>
      </c>
      <c r="W101" s="171" t="str">
        <f t="shared" si="19"/>
        <v>FY 2036-37</v>
      </c>
      <c r="X101" s="171" t="str">
        <f t="shared" si="19"/>
        <v>FY 2037-38</v>
      </c>
      <c r="Y101" s="171" t="str">
        <f t="shared" si="19"/>
        <v>FY 2038-39</v>
      </c>
      <c r="Z101" s="171" t="str">
        <f t="shared" si="19"/>
        <v>FY 2039-40</v>
      </c>
      <c r="AA101" s="171" t="str">
        <f t="shared" si="19"/>
        <v>FY 2040-41</v>
      </c>
      <c r="AB101" s="171" t="str">
        <f t="shared" si="19"/>
        <v>FY 2041-42</v>
      </c>
      <c r="AC101" s="171" t="str">
        <f t="shared" si="19"/>
        <v>FY 2042-43</v>
      </c>
      <c r="AD101" s="171" t="str">
        <f t="shared" si="19"/>
        <v>FY 2043-44</v>
      </c>
      <c r="AE101" s="171" t="str">
        <f t="shared" si="19"/>
        <v>FY 2044-45</v>
      </c>
      <c r="AF101" s="171" t="str">
        <f t="shared" si="19"/>
        <v>FY 2045-46</v>
      </c>
    </row>
    <row r="102" spans="1:32" x14ac:dyDescent="0.2">
      <c r="B102" s="172">
        <f>+'Option inputs'!$B$15</f>
        <v>1</v>
      </c>
      <c r="C102" s="13" t="str">
        <f>+'Option inputs'!$C$15</f>
        <v>Option 1A</v>
      </c>
      <c r="D102" s="164"/>
      <c r="E102" s="173" t="s">
        <v>35</v>
      </c>
      <c r="F102" s="17">
        <f>Central!F96*'Weighted 2'!$F$8+Step!F96*'Weighted 2'!$G$8+Slow!F96*'Weighted 2'!$H$8</f>
        <v>22075389.444719389</v>
      </c>
      <c r="G102" s="16">
        <f>(Central!G96*'Weighted 2'!$F$8)+(Step!G96*'Weighted 2'!$G$8)+(Slow!G96*'Weighted 2'!$H$8)</f>
        <v>0</v>
      </c>
      <c r="H102" s="16">
        <f>(Central!H96*'Weighted 2'!$F$8)+(Step!H96*'Weighted 2'!$G$8)+(Slow!H96*'Weighted 2'!$H$8)</f>
        <v>-247.49044284592708</v>
      </c>
      <c r="I102" s="16">
        <f>(Central!I96*'Weighted 2'!$F$8)+(Step!I96*'Weighted 2'!$G$8)+(Slow!I96*'Weighted 2'!$H$8)</f>
        <v>10657824.636923987</v>
      </c>
      <c r="J102" s="16">
        <f>(Central!J96*'Weighted 2'!$F$8)+(Step!J96*'Weighted 2'!$G$8)+(Slow!J96*'Weighted 2'!$H$8)</f>
        <v>-553103.48844708654</v>
      </c>
      <c r="K102" s="16">
        <f>(Central!K96*'Weighted 2'!$F$8)+(Step!K96*'Weighted 2'!$G$8)+(Slow!K96*'Weighted 2'!$H$8)</f>
        <v>593138.32575247146</v>
      </c>
      <c r="L102" s="16">
        <f>(Central!L96*'Weighted 2'!$F$8)+(Step!L96*'Weighted 2'!$G$8)+(Slow!L96*'Weighted 2'!$H$8)</f>
        <v>12232809.513866423</v>
      </c>
      <c r="M102" s="16">
        <f>(Central!M96*'Weighted 2'!$F$8)+(Step!M96*'Weighted 2'!$G$8)+(Slow!M96*'Weighted 2'!$H$8)</f>
        <v>-5543329.3711594837</v>
      </c>
      <c r="N102" s="16">
        <f>(Central!N96*'Weighted 2'!$F$8)+(Step!N96*'Weighted 2'!$G$8)+(Slow!N96*'Weighted 2'!$H$8)</f>
        <v>338176.96604870236</v>
      </c>
      <c r="O102" s="16">
        <f>(Central!O96*'Weighted 2'!$F$8)+(Step!O96*'Weighted 2'!$G$8)+(Slow!O96*'Weighted 2'!$H$8)</f>
        <v>17969221.335972819</v>
      </c>
      <c r="P102" s="16">
        <f>(Central!P96*'Weighted 2'!$F$8)+(Step!P96*'Weighted 2'!$G$8)+(Slow!P96*'Weighted 2'!$H$8)</f>
        <v>17340272.412445169</v>
      </c>
      <c r="Q102" s="16">
        <f>(Central!Q96*'Weighted 2'!$F$8)+(Step!Q96*'Weighted 2'!$G$8)+(Slow!Q96*'Weighted 2'!$H$8)</f>
        <v>-25929393.793637209</v>
      </c>
      <c r="R102" s="16">
        <f>(Central!R96*'Weighted 2'!$F$8)+(Step!R96*'Weighted 2'!$G$8)+(Slow!R96*'Weighted 2'!$H$8)</f>
        <v>-297153.92039929918</v>
      </c>
      <c r="S102" s="16">
        <f>(Central!S96*'Weighted 2'!$F$8)+(Step!S96*'Weighted 2'!$G$8)+(Slow!S96*'Weighted 2'!$H$8)</f>
        <v>-1946210.0183747669</v>
      </c>
      <c r="T102" s="16">
        <f>(Central!T96*'Weighted 2'!$F$8)+(Step!T96*'Weighted 2'!$G$8)+(Slow!T96*'Weighted 2'!$H$8)</f>
        <v>-5310493.0163395824</v>
      </c>
      <c r="U102" s="16">
        <f>(Central!U96*'Weighted 2'!$F$8)+(Step!U96*'Weighted 2'!$G$8)+(Slow!U96*'Weighted 2'!$H$8)</f>
        <v>2109560.1403102502</v>
      </c>
      <c r="V102" s="16">
        <f>(Central!V96*'Weighted 2'!$F$8)+(Step!V96*'Weighted 2'!$G$8)+(Slow!V96*'Weighted 2'!$H$8)</f>
        <v>-7919161.5153909875</v>
      </c>
      <c r="W102" s="16">
        <f>(Central!W96*'Weighted 2'!$F$8)+(Step!W96*'Weighted 2'!$G$8)+(Slow!W96*'Weighted 2'!$H$8)</f>
        <v>17427279.108852245</v>
      </c>
      <c r="X102" s="16">
        <f>(Central!X96*'Weighted 2'!$F$8)+(Step!X96*'Weighted 2'!$G$8)+(Slow!X96*'Weighted 2'!$H$8)</f>
        <v>2737521.484198533</v>
      </c>
      <c r="Y102" s="16">
        <f>(Central!Y96*'Weighted 2'!$F$8)+(Step!Y96*'Weighted 2'!$G$8)+(Slow!Y96*'Weighted 2'!$H$8)</f>
        <v>3201687.5227428782</v>
      </c>
      <c r="Z102" s="16">
        <f>(Central!Z96*'Weighted 2'!$F$8)+(Step!Z96*'Weighted 2'!$G$8)+(Slow!Z96*'Weighted 2'!$H$8)</f>
        <v>-285833.69433546241</v>
      </c>
      <c r="AA102" s="16">
        <f>(Central!AA96*'Weighted 2'!$F$8)+(Step!AA96*'Weighted 2'!$G$8)+(Slow!AA96*'Weighted 2'!$H$8)</f>
        <v>3714884.4281465868</v>
      </c>
      <c r="AB102" s="16">
        <f>(Central!AB96*'Weighted 2'!$F$8)+(Step!AB96*'Weighted 2'!$G$8)+(Slow!AB96*'Weighted 2'!$H$8)</f>
        <v>-2397881.38988664</v>
      </c>
      <c r="AC102" s="16">
        <f>(Central!AC96*'Weighted 2'!$F$8)+(Step!AC96*'Weighted 2'!$G$8)+(Slow!AC96*'Weighted 2'!$H$8)</f>
        <v>-2181540.4868148267</v>
      </c>
      <c r="AD102" s="16">
        <f>(Central!AD96*'Weighted 2'!$F$8)+(Step!AD96*'Weighted 2'!$G$8)+(Slow!AD96*'Weighted 2'!$H$8)</f>
        <v>-3016413.4696500376</v>
      </c>
      <c r="AE102" s="16">
        <f>(Central!AE96*'Weighted 2'!$F$8)+(Step!AE96*'Weighted 2'!$G$8)+(Slow!AE96*'Weighted 2'!$H$8)</f>
        <v>-2051003.6658696798</v>
      </c>
      <c r="AF102" s="16">
        <f>(Central!AF96*'Weighted 2'!$F$8)+(Step!AF96*'Weighted 2'!$G$8)+(Slow!AF96*'Weighted 2'!$H$8)</f>
        <v>-853382.81674446038</v>
      </c>
    </row>
    <row r="103" spans="1:32" x14ac:dyDescent="0.2">
      <c r="B103" s="172">
        <f>+'Option inputs'!$B$16</f>
        <v>2</v>
      </c>
      <c r="C103" s="13" t="str">
        <f>+'Option inputs'!$C$16</f>
        <v>Option 1B</v>
      </c>
      <c r="D103" s="164"/>
      <c r="E103" s="173" t="s">
        <v>35</v>
      </c>
      <c r="F103" s="17">
        <f>Central!F97*'Weighted 2'!$F$8+Step!F97*'Weighted 2'!$G$8+Slow!F97*'Weighted 2'!$H$8</f>
        <v>22075389.444719389</v>
      </c>
      <c r="G103" s="16">
        <f>(Central!G97*'Weighted 2'!$F$8)+(Step!G97*'Weighted 2'!$G$8)+(Slow!G97*'Weighted 2'!$H$8)</f>
        <v>0</v>
      </c>
      <c r="H103" s="16">
        <f>(Central!H97*'Weighted 2'!$F$8)+(Step!H97*'Weighted 2'!$G$8)+(Slow!H97*'Weighted 2'!$H$8)</f>
        <v>-247.49044284592708</v>
      </c>
      <c r="I103" s="16">
        <f>(Central!I97*'Weighted 2'!$F$8)+(Step!I97*'Weighted 2'!$G$8)+(Slow!I97*'Weighted 2'!$H$8)</f>
        <v>10657824.636923987</v>
      </c>
      <c r="J103" s="16">
        <f>(Central!J97*'Weighted 2'!$F$8)+(Step!J97*'Weighted 2'!$G$8)+(Slow!J97*'Weighted 2'!$H$8)</f>
        <v>-553103.48844708654</v>
      </c>
      <c r="K103" s="16">
        <f>(Central!K97*'Weighted 2'!$F$8)+(Step!K97*'Weighted 2'!$G$8)+(Slow!K97*'Weighted 2'!$H$8)</f>
        <v>593138.32575247146</v>
      </c>
      <c r="L103" s="16">
        <f>(Central!L97*'Weighted 2'!$F$8)+(Step!L97*'Weighted 2'!$G$8)+(Slow!L97*'Weighted 2'!$H$8)</f>
        <v>12232809.513866423</v>
      </c>
      <c r="M103" s="16">
        <f>(Central!M97*'Weighted 2'!$F$8)+(Step!M97*'Weighted 2'!$G$8)+(Slow!M97*'Weighted 2'!$H$8)</f>
        <v>-5543329.3711594837</v>
      </c>
      <c r="N103" s="16">
        <f>(Central!N97*'Weighted 2'!$F$8)+(Step!N97*'Weighted 2'!$G$8)+(Slow!N97*'Weighted 2'!$H$8)</f>
        <v>338176.96604870236</v>
      </c>
      <c r="O103" s="16">
        <f>(Central!O97*'Weighted 2'!$F$8)+(Step!O97*'Weighted 2'!$G$8)+(Slow!O97*'Weighted 2'!$H$8)</f>
        <v>17969221.335972819</v>
      </c>
      <c r="P103" s="16">
        <f>(Central!P97*'Weighted 2'!$F$8)+(Step!P97*'Weighted 2'!$G$8)+(Slow!P97*'Weighted 2'!$H$8)</f>
        <v>17340272.412445169</v>
      </c>
      <c r="Q103" s="16">
        <f>(Central!Q97*'Weighted 2'!$F$8)+(Step!Q97*'Weighted 2'!$G$8)+(Slow!Q97*'Weighted 2'!$H$8)</f>
        <v>-25929393.793637209</v>
      </c>
      <c r="R103" s="16">
        <f>(Central!R97*'Weighted 2'!$F$8)+(Step!R97*'Weighted 2'!$G$8)+(Slow!R97*'Weighted 2'!$H$8)</f>
        <v>-297153.92039929918</v>
      </c>
      <c r="S103" s="16">
        <f>(Central!S97*'Weighted 2'!$F$8)+(Step!S97*'Weighted 2'!$G$8)+(Slow!S97*'Weighted 2'!$H$8)</f>
        <v>-1946210.0183747669</v>
      </c>
      <c r="T103" s="16">
        <f>(Central!T97*'Weighted 2'!$F$8)+(Step!T97*'Weighted 2'!$G$8)+(Slow!T97*'Weighted 2'!$H$8)</f>
        <v>-5310493.0163395824</v>
      </c>
      <c r="U103" s="16">
        <f>(Central!U97*'Weighted 2'!$F$8)+(Step!U97*'Weighted 2'!$G$8)+(Slow!U97*'Weighted 2'!$H$8)</f>
        <v>2109560.1403102502</v>
      </c>
      <c r="V103" s="16">
        <f>(Central!V97*'Weighted 2'!$F$8)+(Step!V97*'Weighted 2'!$G$8)+(Slow!V97*'Weighted 2'!$H$8)</f>
        <v>-7919161.5153909875</v>
      </c>
      <c r="W103" s="16">
        <f>(Central!W97*'Weighted 2'!$F$8)+(Step!W97*'Weighted 2'!$G$8)+(Slow!W97*'Weighted 2'!$H$8)</f>
        <v>17427279.108852245</v>
      </c>
      <c r="X103" s="16">
        <f>(Central!X97*'Weighted 2'!$F$8)+(Step!X97*'Weighted 2'!$G$8)+(Slow!X97*'Weighted 2'!$H$8)</f>
        <v>2737521.484198533</v>
      </c>
      <c r="Y103" s="16">
        <f>(Central!Y97*'Weighted 2'!$F$8)+(Step!Y97*'Weighted 2'!$G$8)+(Slow!Y97*'Weighted 2'!$H$8)</f>
        <v>3201687.5227428782</v>
      </c>
      <c r="Z103" s="16">
        <f>(Central!Z97*'Weighted 2'!$F$8)+(Step!Z97*'Weighted 2'!$G$8)+(Slow!Z97*'Weighted 2'!$H$8)</f>
        <v>-285833.69433546241</v>
      </c>
      <c r="AA103" s="16">
        <f>(Central!AA97*'Weighted 2'!$F$8)+(Step!AA97*'Weighted 2'!$G$8)+(Slow!AA97*'Weighted 2'!$H$8)</f>
        <v>3714884.4281465868</v>
      </c>
      <c r="AB103" s="16">
        <f>(Central!AB97*'Weighted 2'!$F$8)+(Step!AB97*'Weighted 2'!$G$8)+(Slow!AB97*'Weighted 2'!$H$8)</f>
        <v>-2397881.38988664</v>
      </c>
      <c r="AC103" s="16">
        <f>(Central!AC97*'Weighted 2'!$F$8)+(Step!AC97*'Weighted 2'!$G$8)+(Slow!AC97*'Weighted 2'!$H$8)</f>
        <v>-2181540.4868148267</v>
      </c>
      <c r="AD103" s="16">
        <f>(Central!AD97*'Weighted 2'!$F$8)+(Step!AD97*'Weighted 2'!$G$8)+(Slow!AD97*'Weighted 2'!$H$8)</f>
        <v>-3016413.4696500376</v>
      </c>
      <c r="AE103" s="16">
        <f>(Central!AE97*'Weighted 2'!$F$8)+(Step!AE97*'Weighted 2'!$G$8)+(Slow!AE97*'Weighted 2'!$H$8)</f>
        <v>-2051003.6658696798</v>
      </c>
      <c r="AF103" s="16">
        <f>(Central!AF97*'Weighted 2'!$F$8)+(Step!AF97*'Weighted 2'!$G$8)+(Slow!AF97*'Weighted 2'!$H$8)</f>
        <v>-853382.81674446038</v>
      </c>
    </row>
    <row r="104" spans="1:32" x14ac:dyDescent="0.2">
      <c r="B104" s="172">
        <f>+'Option inputs'!$B$17</f>
        <v>3</v>
      </c>
      <c r="C104" s="13" t="str">
        <f>+'Option inputs'!$C$17</f>
        <v>Option 2</v>
      </c>
      <c r="D104" s="164"/>
      <c r="E104" s="173" t="s">
        <v>35</v>
      </c>
      <c r="F104" s="17">
        <f>Central!F98*'Weighted 2'!$F$8+Step!F98*'Weighted 2'!$G$8+Slow!F98*'Weighted 2'!$H$8</f>
        <v>22253403.045894187</v>
      </c>
      <c r="G104" s="16">
        <f>(Central!G98*'Weighted 2'!$F$8)+(Step!G98*'Weighted 2'!$G$8)+(Slow!G98*'Weighted 2'!$H$8)</f>
        <v>0</v>
      </c>
      <c r="H104" s="16">
        <f>(Central!H98*'Weighted 2'!$F$8)+(Step!H98*'Weighted 2'!$G$8)+(Slow!H98*'Weighted 2'!$H$8)</f>
        <v>-343.46714679488787</v>
      </c>
      <c r="I104" s="16">
        <f>(Central!I98*'Weighted 2'!$F$8)+(Step!I98*'Weighted 2'!$G$8)+(Slow!I98*'Weighted 2'!$H$8)</f>
        <v>10635775.174842238</v>
      </c>
      <c r="J104" s="16">
        <f>(Central!J98*'Weighted 2'!$F$8)+(Step!J98*'Weighted 2'!$G$8)+(Slow!J98*'Weighted 2'!$H$8)</f>
        <v>-391871.30638761504</v>
      </c>
      <c r="K104" s="16">
        <f>(Central!K98*'Weighted 2'!$F$8)+(Step!K98*'Weighted 2'!$G$8)+(Slow!K98*'Weighted 2'!$H$8)</f>
        <v>739108.41927383363</v>
      </c>
      <c r="L104" s="16">
        <f>(Central!L98*'Weighted 2'!$F$8)+(Step!L98*'Weighted 2'!$G$8)+(Slow!L98*'Weighted 2'!$H$8)</f>
        <v>11970429.903084919</v>
      </c>
      <c r="M104" s="16">
        <f>(Central!M98*'Weighted 2'!$F$8)+(Step!M98*'Weighted 2'!$G$8)+(Slow!M98*'Weighted 2'!$H$8)</f>
        <v>-6287167.0237100925</v>
      </c>
      <c r="N104" s="16">
        <f>(Central!N98*'Weighted 2'!$F$8)+(Step!N98*'Weighted 2'!$G$8)+(Slow!N98*'Weighted 2'!$H$8)</f>
        <v>863373.23224672547</v>
      </c>
      <c r="O104" s="16">
        <f>(Central!O98*'Weighted 2'!$F$8)+(Step!O98*'Weighted 2'!$G$8)+(Slow!O98*'Weighted 2'!$H$8)</f>
        <v>19410866.01176443</v>
      </c>
      <c r="P104" s="16">
        <f>(Central!P98*'Weighted 2'!$F$8)+(Step!P98*'Weighted 2'!$G$8)+(Slow!P98*'Weighted 2'!$H$8)</f>
        <v>17108195.522141423</v>
      </c>
      <c r="Q104" s="16">
        <f>(Central!Q98*'Weighted 2'!$F$8)+(Step!Q98*'Weighted 2'!$G$8)+(Slow!Q98*'Weighted 2'!$H$8)</f>
        <v>-26467262.390416332</v>
      </c>
      <c r="R104" s="16">
        <f>(Central!R98*'Weighted 2'!$F$8)+(Step!R98*'Weighted 2'!$G$8)+(Slow!R98*'Weighted 2'!$H$8)</f>
        <v>-293635.96486017411</v>
      </c>
      <c r="S104" s="16">
        <f>(Central!S98*'Weighted 2'!$F$8)+(Step!S98*'Weighted 2'!$G$8)+(Slow!S98*'Weighted 2'!$H$8)</f>
        <v>-1696626.7391075026</v>
      </c>
      <c r="T104" s="16">
        <f>(Central!T98*'Weighted 2'!$F$8)+(Step!T98*'Weighted 2'!$G$8)+(Slow!T98*'Weighted 2'!$H$8)</f>
        <v>-5363165.5855015526</v>
      </c>
      <c r="U104" s="16">
        <f>(Central!U98*'Weighted 2'!$F$8)+(Step!U98*'Weighted 2'!$G$8)+(Slow!U98*'Weighted 2'!$H$8)</f>
        <v>2060192.8344484714</v>
      </c>
      <c r="V104" s="16">
        <f>(Central!V98*'Weighted 2'!$F$8)+(Step!V98*'Weighted 2'!$G$8)+(Slow!V98*'Weighted 2'!$H$8)</f>
        <v>-9879400.6141298171</v>
      </c>
      <c r="W104" s="16">
        <f>(Central!W98*'Weighted 2'!$F$8)+(Step!W98*'Weighted 2'!$G$8)+(Slow!W98*'Weighted 2'!$H$8)</f>
        <v>18335882.978250351</v>
      </c>
      <c r="X104" s="16">
        <f>(Central!X98*'Weighted 2'!$F$8)+(Step!X98*'Weighted 2'!$G$8)+(Slow!X98*'Weighted 2'!$H$8)</f>
        <v>3998137.8723291084</v>
      </c>
      <c r="Y104" s="16">
        <f>(Central!Y98*'Weighted 2'!$F$8)+(Step!Y98*'Weighted 2'!$G$8)+(Slow!Y98*'Weighted 2'!$H$8)</f>
        <v>3364018.8637720626</v>
      </c>
      <c r="Z104" s="16">
        <f>(Central!Z98*'Weighted 2'!$F$8)+(Step!Z98*'Weighted 2'!$G$8)+(Slow!Z98*'Weighted 2'!$H$8)</f>
        <v>-41586.412781688647</v>
      </c>
      <c r="AA104" s="16">
        <f>(Central!AA98*'Weighted 2'!$F$8)+(Step!AA98*'Weighted 2'!$G$8)+(Slow!AA98*'Weighted 2'!$H$8)</f>
        <v>3723875.1405140157</v>
      </c>
      <c r="AB104" s="16">
        <f>(Central!AB98*'Weighted 2'!$F$8)+(Step!AB98*'Weighted 2'!$G$8)+(Slow!AB98*'Weighted 2'!$H$8)</f>
        <v>-2926602.8136443719</v>
      </c>
      <c r="AC104" s="16">
        <f>(Central!AC98*'Weighted 2'!$F$8)+(Step!AC98*'Weighted 2'!$G$8)+(Slow!AC98*'Weighted 2'!$H$8)</f>
        <v>-3029869.3212975785</v>
      </c>
      <c r="AD104" s="16">
        <f>(Central!AD98*'Weighted 2'!$F$8)+(Step!AD98*'Weighted 2'!$G$8)+(Slow!AD98*'Weighted 2'!$H$8)</f>
        <v>-2654091.7679731119</v>
      </c>
      <c r="AE104" s="16">
        <f>(Central!AE98*'Weighted 2'!$F$8)+(Step!AE98*'Weighted 2'!$G$8)+(Slow!AE98*'Weighted 2'!$H$8)</f>
        <v>-2331057.8578047929</v>
      </c>
      <c r="AF104" s="16">
        <f>(Central!AF98*'Weighted 2'!$F$8)+(Step!AF98*'Weighted 2'!$G$8)+(Slow!AF98*'Weighted 2'!$H$8)</f>
        <v>-853130.76824669773</v>
      </c>
    </row>
    <row r="105" spans="1:32" x14ac:dyDescent="0.2">
      <c r="B105" s="172">
        <f>+'Option inputs'!$B$18</f>
        <v>4</v>
      </c>
      <c r="C105" s="13" t="str">
        <f>+'Option inputs'!$C$18</f>
        <v>Option 3</v>
      </c>
      <c r="D105" s="164"/>
      <c r="E105" s="173" t="s">
        <v>35</v>
      </c>
      <c r="F105" s="17">
        <f>Central!F99*'Weighted 2'!$F$8+Step!F99*'Weighted 2'!$G$8+Slow!F99*'Weighted 2'!$H$8</f>
        <v>782173.50128320965</v>
      </c>
      <c r="G105" s="16">
        <f>(Central!G99*'Weighted 2'!$F$8)+(Step!G99*'Weighted 2'!$G$8)+(Slow!G99*'Weighted 2'!$H$8)</f>
        <v>0</v>
      </c>
      <c r="H105" s="16">
        <f>(Central!H99*'Weighted 2'!$F$8)+(Step!H99*'Weighted 2'!$G$8)+(Slow!H99*'Weighted 2'!$H$8)</f>
        <v>109.31579514325271</v>
      </c>
      <c r="I105" s="16">
        <f>(Central!I99*'Weighted 2'!$F$8)+(Step!I99*'Weighted 2'!$G$8)+(Slow!I99*'Weighted 2'!$H$8)</f>
        <v>973245.26525875344</v>
      </c>
      <c r="J105" s="16">
        <f>(Central!J99*'Weighted 2'!$F$8)+(Step!J99*'Weighted 2'!$G$8)+(Slow!J99*'Weighted 2'!$H$8)</f>
        <v>578325.85263859679</v>
      </c>
      <c r="K105" s="16">
        <f>(Central!K99*'Weighted 2'!$F$8)+(Step!K99*'Weighted 2'!$G$8)+(Slow!K99*'Weighted 2'!$H$8)</f>
        <v>700208.33352430142</v>
      </c>
      <c r="L105" s="16">
        <f>(Central!L99*'Weighted 2'!$F$8)+(Step!L99*'Weighted 2'!$G$8)+(Slow!L99*'Weighted 2'!$H$8)</f>
        <v>204173.50443478391</v>
      </c>
      <c r="M105" s="16">
        <f>(Central!M99*'Weighted 2'!$F$8)+(Step!M99*'Weighted 2'!$G$8)+(Slow!M99*'Weighted 2'!$H$8)</f>
        <v>622528.3340050478</v>
      </c>
      <c r="N105" s="16">
        <f>(Central!N99*'Weighted 2'!$F$8)+(Step!N99*'Weighted 2'!$G$8)+(Slow!N99*'Weighted 2'!$H$8)</f>
        <v>-1764057.6269844079</v>
      </c>
      <c r="O105" s="16">
        <f>(Central!O99*'Weighted 2'!$F$8)+(Step!O99*'Weighted 2'!$G$8)+(Slow!O99*'Weighted 2'!$H$8)</f>
        <v>1541745.8948707611</v>
      </c>
      <c r="P105" s="16">
        <f>(Central!P99*'Weighted 2'!$F$8)+(Step!P99*'Weighted 2'!$G$8)+(Slow!P99*'Weighted 2'!$H$8)</f>
        <v>-9019.882881192947</v>
      </c>
      <c r="Q105" s="16">
        <f>(Central!Q99*'Weighted 2'!$F$8)+(Step!Q99*'Weighted 2'!$G$8)+(Slow!Q99*'Weighted 2'!$H$8)</f>
        <v>-2261640.6713353065</v>
      </c>
      <c r="R105" s="16">
        <f>(Central!R99*'Weighted 2'!$F$8)+(Step!R99*'Weighted 2'!$G$8)+(Slow!R99*'Weighted 2'!$H$8)</f>
        <v>-286758.88573774742</v>
      </c>
      <c r="S105" s="16">
        <f>(Central!S99*'Weighted 2'!$F$8)+(Step!S99*'Weighted 2'!$G$8)+(Slow!S99*'Weighted 2'!$H$8)</f>
        <v>-510331.51239904435</v>
      </c>
      <c r="T105" s="16">
        <f>(Central!T99*'Weighted 2'!$F$8)+(Step!T99*'Weighted 2'!$G$8)+(Slow!T99*'Weighted 2'!$H$8)</f>
        <v>644035.01808210101</v>
      </c>
      <c r="U105" s="16">
        <f>(Central!U99*'Weighted 2'!$F$8)+(Step!U99*'Weighted 2'!$G$8)+(Slow!U99*'Weighted 2'!$H$8)</f>
        <v>443733.92474567587</v>
      </c>
      <c r="V105" s="16">
        <f>(Central!V99*'Weighted 2'!$F$8)+(Step!V99*'Weighted 2'!$G$8)+(Slow!V99*'Weighted 2'!$H$8)</f>
        <v>-1478766.4519869073</v>
      </c>
      <c r="W105" s="16">
        <f>(Central!W99*'Weighted 2'!$F$8)+(Step!W99*'Weighted 2'!$G$8)+(Slow!W99*'Weighted 2'!$H$8)</f>
        <v>-716401.50002163893</v>
      </c>
      <c r="X105" s="16">
        <f>(Central!X99*'Weighted 2'!$F$8)+(Step!X99*'Weighted 2'!$G$8)+(Slow!X99*'Weighted 2'!$H$8)</f>
        <v>2899401.5594127849</v>
      </c>
      <c r="Y105" s="16">
        <f>(Central!Y99*'Weighted 2'!$F$8)+(Step!Y99*'Weighted 2'!$G$8)+(Slow!Y99*'Weighted 2'!$H$8)</f>
        <v>268065.43722536921</v>
      </c>
      <c r="Z105" s="16">
        <f>(Central!Z99*'Weighted 2'!$F$8)+(Step!Z99*'Weighted 2'!$G$8)+(Slow!Z99*'Weighted 2'!$H$8)</f>
        <v>-416826.68719190237</v>
      </c>
      <c r="AA105" s="16">
        <f>(Central!AA99*'Weighted 2'!$F$8)+(Step!AA99*'Weighted 2'!$G$8)+(Slow!AA99*'Weighted 2'!$H$8)</f>
        <v>428416.47747105401</v>
      </c>
      <c r="AB105" s="16">
        <f>(Central!AB99*'Weighted 2'!$F$8)+(Step!AB99*'Weighted 2'!$G$8)+(Slow!AB99*'Weighted 2'!$H$8)</f>
        <v>-623128.7876868248</v>
      </c>
      <c r="AC105" s="16">
        <f>(Central!AC99*'Weighted 2'!$F$8)+(Step!AC99*'Weighted 2'!$G$8)+(Slow!AC99*'Weighted 2'!$H$8)</f>
        <v>-385520.18230149895</v>
      </c>
      <c r="AD105" s="16">
        <f>(Central!AD99*'Weighted 2'!$F$8)+(Step!AD99*'Weighted 2'!$G$8)+(Slow!AD99*'Weighted 2'!$H$8)</f>
        <v>118826.27021678607</v>
      </c>
      <c r="AE105" s="16">
        <f>(Central!AE99*'Weighted 2'!$F$8)+(Step!AE99*'Weighted 2'!$G$8)+(Slow!AE99*'Weighted 2'!$H$8)</f>
        <v>-1097907.3991143806</v>
      </c>
      <c r="AF105" s="16">
        <f>(Central!AF99*'Weighted 2'!$F$8)+(Step!AF99*'Weighted 2'!$G$8)+(Slow!AF99*'Weighted 2'!$H$8)</f>
        <v>-77041.009159087203</v>
      </c>
    </row>
    <row r="106" spans="1:32" x14ac:dyDescent="0.2">
      <c r="B106" s="172">
        <f>+'Option inputs'!$B$19</f>
        <v>5</v>
      </c>
      <c r="C106" s="13" t="str">
        <f>+'Option inputs'!$C$19</f>
        <v>Option 4</v>
      </c>
      <c r="D106" s="164"/>
      <c r="E106" s="173" t="s">
        <v>35</v>
      </c>
      <c r="F106" s="17">
        <f>Central!F100*'Weighted 2'!$F$8+Step!F100*'Weighted 2'!$G$8+Slow!F100*'Weighted 2'!$H$8</f>
        <v>0</v>
      </c>
      <c r="G106" s="16" t="e">
        <f>(Central!G100*'Weighted 2'!$F$8)+(Step!G100*'Weighted 2'!$G$8)+(Slow!G100*'Weighted 2'!$H$8)</f>
        <v>#VALUE!</v>
      </c>
      <c r="H106" s="16">
        <f>(Central!H100*'Weighted 2'!$F$8)+(Step!H100*'Weighted 2'!$G$8)+(Slow!H100*'Weighted 2'!$H$8)</f>
        <v>0</v>
      </c>
      <c r="I106" s="16">
        <f>(Central!I100*'Weighted 2'!$F$8)+(Step!I100*'Weighted 2'!$G$8)+(Slow!I100*'Weighted 2'!$H$8)</f>
        <v>0</v>
      </c>
      <c r="J106" s="16">
        <f>(Central!J100*'Weighted 2'!$F$8)+(Step!J100*'Weighted 2'!$G$8)+(Slow!J100*'Weighted 2'!$H$8)</f>
        <v>0</v>
      </c>
      <c r="K106" s="16">
        <f>(Central!K100*'Weighted 2'!$F$8)+(Step!K100*'Weighted 2'!$G$8)+(Slow!K100*'Weighted 2'!$H$8)</f>
        <v>0</v>
      </c>
      <c r="L106" s="16">
        <f>(Central!L100*'Weighted 2'!$F$8)+(Step!L100*'Weighted 2'!$G$8)+(Slow!L100*'Weighted 2'!$H$8)</f>
        <v>0</v>
      </c>
      <c r="M106" s="16">
        <f>(Central!M100*'Weighted 2'!$F$8)+(Step!M100*'Weighted 2'!$G$8)+(Slow!M100*'Weighted 2'!$H$8)</f>
        <v>0</v>
      </c>
      <c r="N106" s="16">
        <f>(Central!N100*'Weighted 2'!$F$8)+(Step!N100*'Weighted 2'!$G$8)+(Slow!N100*'Weighted 2'!$H$8)</f>
        <v>0</v>
      </c>
      <c r="O106" s="16">
        <f>(Central!O100*'Weighted 2'!$F$8)+(Step!O100*'Weighted 2'!$G$8)+(Slow!O100*'Weighted 2'!$H$8)</f>
        <v>0</v>
      </c>
      <c r="P106" s="16">
        <f>(Central!P100*'Weighted 2'!$F$8)+(Step!P100*'Weighted 2'!$G$8)+(Slow!P100*'Weighted 2'!$H$8)</f>
        <v>0</v>
      </c>
      <c r="Q106" s="16">
        <f>(Central!Q100*'Weighted 2'!$F$8)+(Step!Q100*'Weighted 2'!$G$8)+(Slow!Q100*'Weighted 2'!$H$8)</f>
        <v>0</v>
      </c>
      <c r="R106" s="16">
        <f>(Central!R100*'Weighted 2'!$F$8)+(Step!R100*'Weighted 2'!$G$8)+(Slow!R100*'Weighted 2'!$H$8)</f>
        <v>0</v>
      </c>
      <c r="S106" s="16">
        <f>(Central!S100*'Weighted 2'!$F$8)+(Step!S100*'Weighted 2'!$G$8)+(Slow!S100*'Weighted 2'!$H$8)</f>
        <v>0</v>
      </c>
      <c r="T106" s="16">
        <f>(Central!T100*'Weighted 2'!$F$8)+(Step!T100*'Weighted 2'!$G$8)+(Slow!T100*'Weighted 2'!$H$8)</f>
        <v>0</v>
      </c>
      <c r="U106" s="16">
        <f>(Central!U100*'Weighted 2'!$F$8)+(Step!U100*'Weighted 2'!$G$8)+(Slow!U100*'Weighted 2'!$H$8)</f>
        <v>0</v>
      </c>
      <c r="V106" s="16">
        <f>(Central!V100*'Weighted 2'!$F$8)+(Step!V100*'Weighted 2'!$G$8)+(Slow!V100*'Weighted 2'!$H$8)</f>
        <v>0</v>
      </c>
      <c r="W106" s="16">
        <f>(Central!W100*'Weighted 2'!$F$8)+(Step!W100*'Weighted 2'!$G$8)+(Slow!W100*'Weighted 2'!$H$8)</f>
        <v>0</v>
      </c>
      <c r="X106" s="16">
        <f>(Central!X100*'Weighted 2'!$F$8)+(Step!X100*'Weighted 2'!$G$8)+(Slow!X100*'Weighted 2'!$H$8)</f>
        <v>0</v>
      </c>
      <c r="Y106" s="16">
        <f>(Central!Y100*'Weighted 2'!$F$8)+(Step!Y100*'Weighted 2'!$G$8)+(Slow!Y100*'Weighted 2'!$H$8)</f>
        <v>0</v>
      </c>
      <c r="Z106" s="16">
        <f>(Central!Z100*'Weighted 2'!$F$8)+(Step!Z100*'Weighted 2'!$G$8)+(Slow!Z100*'Weighted 2'!$H$8)</f>
        <v>0</v>
      </c>
      <c r="AA106" s="16">
        <f>(Central!AA100*'Weighted 2'!$F$8)+(Step!AA100*'Weighted 2'!$G$8)+(Slow!AA100*'Weighted 2'!$H$8)</f>
        <v>0</v>
      </c>
      <c r="AB106" s="16">
        <f>(Central!AB100*'Weighted 2'!$F$8)+(Step!AB100*'Weighted 2'!$G$8)+(Slow!AB100*'Weighted 2'!$H$8)</f>
        <v>0</v>
      </c>
      <c r="AC106" s="16">
        <f>(Central!AC100*'Weighted 2'!$F$8)+(Step!AC100*'Weighted 2'!$G$8)+(Slow!AC100*'Weighted 2'!$H$8)</f>
        <v>0</v>
      </c>
      <c r="AD106" s="16">
        <f>(Central!AD100*'Weighted 2'!$F$8)+(Step!AD100*'Weighted 2'!$G$8)+(Slow!AD100*'Weighted 2'!$H$8)</f>
        <v>0</v>
      </c>
      <c r="AE106" s="16">
        <f>(Central!AE100*'Weighted 2'!$F$8)+(Step!AE100*'Weighted 2'!$G$8)+(Slow!AE100*'Weighted 2'!$H$8)</f>
        <v>0</v>
      </c>
      <c r="AF106" s="16">
        <f>(Central!AF100*'Weighted 2'!$F$8)+(Step!AF100*'Weighted 2'!$G$8)+(Slow!AF100*'Weighted 2'!$H$8)</f>
        <v>0</v>
      </c>
    </row>
    <row r="107" spans="1:32" x14ac:dyDescent="0.2">
      <c r="B107" s="172">
        <f>+'Option inputs'!$B$20</f>
        <v>6</v>
      </c>
      <c r="C107" s="13" t="str">
        <f>+'Option inputs'!$C$20</f>
        <v>Option 5</v>
      </c>
      <c r="D107" s="164"/>
      <c r="E107" s="173" t="s">
        <v>35</v>
      </c>
      <c r="F107" s="17">
        <f>Central!F101*'Weighted 2'!$F$8+Step!F101*'Weighted 2'!$G$8+Slow!F101*'Weighted 2'!$H$8</f>
        <v>0</v>
      </c>
      <c r="G107" s="16" t="e">
        <f>(Central!G101*'Weighted 2'!$F$8)+(Step!G101*'Weighted 2'!$G$8)+(Slow!G101*'Weighted 2'!$H$8)</f>
        <v>#VALUE!</v>
      </c>
      <c r="H107" s="16">
        <f>(Central!H101*'Weighted 2'!$F$8)+(Step!H101*'Weighted 2'!$G$8)+(Slow!H101*'Weighted 2'!$H$8)</f>
        <v>0</v>
      </c>
      <c r="I107" s="16">
        <f>(Central!I101*'Weighted 2'!$F$8)+(Step!I101*'Weighted 2'!$G$8)+(Slow!I101*'Weighted 2'!$H$8)</f>
        <v>0</v>
      </c>
      <c r="J107" s="16">
        <f>(Central!J101*'Weighted 2'!$F$8)+(Step!J101*'Weighted 2'!$G$8)+(Slow!J101*'Weighted 2'!$H$8)</f>
        <v>0</v>
      </c>
      <c r="K107" s="16">
        <f>(Central!K101*'Weighted 2'!$F$8)+(Step!K101*'Weighted 2'!$G$8)+(Slow!K101*'Weighted 2'!$H$8)</f>
        <v>0</v>
      </c>
      <c r="L107" s="16">
        <f>(Central!L101*'Weighted 2'!$F$8)+(Step!L101*'Weighted 2'!$G$8)+(Slow!L101*'Weighted 2'!$H$8)</f>
        <v>0</v>
      </c>
      <c r="M107" s="16">
        <f>(Central!M101*'Weighted 2'!$F$8)+(Step!M101*'Weighted 2'!$G$8)+(Slow!M101*'Weighted 2'!$H$8)</f>
        <v>0</v>
      </c>
      <c r="N107" s="16">
        <f>(Central!N101*'Weighted 2'!$F$8)+(Step!N101*'Weighted 2'!$G$8)+(Slow!N101*'Weighted 2'!$H$8)</f>
        <v>0</v>
      </c>
      <c r="O107" s="16">
        <f>(Central!O101*'Weighted 2'!$F$8)+(Step!O101*'Weighted 2'!$G$8)+(Slow!O101*'Weighted 2'!$H$8)</f>
        <v>0</v>
      </c>
      <c r="P107" s="16">
        <f>(Central!P101*'Weighted 2'!$F$8)+(Step!P101*'Weighted 2'!$G$8)+(Slow!P101*'Weighted 2'!$H$8)</f>
        <v>0</v>
      </c>
      <c r="Q107" s="16">
        <f>(Central!Q101*'Weighted 2'!$F$8)+(Step!Q101*'Weighted 2'!$G$8)+(Slow!Q101*'Weighted 2'!$H$8)</f>
        <v>0</v>
      </c>
      <c r="R107" s="16">
        <f>(Central!R101*'Weighted 2'!$F$8)+(Step!R101*'Weighted 2'!$G$8)+(Slow!R101*'Weighted 2'!$H$8)</f>
        <v>0</v>
      </c>
      <c r="S107" s="16">
        <f>(Central!S101*'Weighted 2'!$F$8)+(Step!S101*'Weighted 2'!$G$8)+(Slow!S101*'Weighted 2'!$H$8)</f>
        <v>0</v>
      </c>
      <c r="T107" s="16">
        <f>(Central!T101*'Weighted 2'!$F$8)+(Step!T101*'Weighted 2'!$G$8)+(Slow!T101*'Weighted 2'!$H$8)</f>
        <v>0</v>
      </c>
      <c r="U107" s="16">
        <f>(Central!U101*'Weighted 2'!$F$8)+(Step!U101*'Weighted 2'!$G$8)+(Slow!U101*'Weighted 2'!$H$8)</f>
        <v>0</v>
      </c>
      <c r="V107" s="16">
        <f>(Central!V101*'Weighted 2'!$F$8)+(Step!V101*'Weighted 2'!$G$8)+(Slow!V101*'Weighted 2'!$H$8)</f>
        <v>0</v>
      </c>
      <c r="W107" s="16">
        <f>(Central!W101*'Weighted 2'!$F$8)+(Step!W101*'Weighted 2'!$G$8)+(Slow!W101*'Weighted 2'!$H$8)</f>
        <v>0</v>
      </c>
      <c r="X107" s="16">
        <f>(Central!X101*'Weighted 2'!$F$8)+(Step!X101*'Weighted 2'!$G$8)+(Slow!X101*'Weighted 2'!$H$8)</f>
        <v>0</v>
      </c>
      <c r="Y107" s="16">
        <f>(Central!Y101*'Weighted 2'!$F$8)+(Step!Y101*'Weighted 2'!$G$8)+(Slow!Y101*'Weighted 2'!$H$8)</f>
        <v>0</v>
      </c>
      <c r="Z107" s="16">
        <f>(Central!Z101*'Weighted 2'!$F$8)+(Step!Z101*'Weighted 2'!$G$8)+(Slow!Z101*'Weighted 2'!$H$8)</f>
        <v>0</v>
      </c>
      <c r="AA107" s="16">
        <f>(Central!AA101*'Weighted 2'!$F$8)+(Step!AA101*'Weighted 2'!$G$8)+(Slow!AA101*'Weighted 2'!$H$8)</f>
        <v>0</v>
      </c>
      <c r="AB107" s="16">
        <f>(Central!AB101*'Weighted 2'!$F$8)+(Step!AB101*'Weighted 2'!$G$8)+(Slow!AB101*'Weighted 2'!$H$8)</f>
        <v>0</v>
      </c>
      <c r="AC107" s="16">
        <f>(Central!AC101*'Weighted 2'!$F$8)+(Step!AC101*'Weighted 2'!$G$8)+(Slow!AC101*'Weighted 2'!$H$8)</f>
        <v>0</v>
      </c>
      <c r="AD107" s="16">
        <f>(Central!AD101*'Weighted 2'!$F$8)+(Step!AD101*'Weighted 2'!$G$8)+(Slow!AD101*'Weighted 2'!$H$8)</f>
        <v>0</v>
      </c>
      <c r="AE107" s="16">
        <f>(Central!AE101*'Weighted 2'!$F$8)+(Step!AE101*'Weighted 2'!$G$8)+(Slow!AE101*'Weighted 2'!$H$8)</f>
        <v>0</v>
      </c>
      <c r="AF107" s="16">
        <f>(Central!AF101*'Weighted 2'!$F$8)+(Step!AF101*'Weighted 2'!$G$8)+(Slow!AF101*'Weighted 2'!$H$8)</f>
        <v>0</v>
      </c>
    </row>
    <row r="108" spans="1:32" x14ac:dyDescent="0.2">
      <c r="B108" s="172" t="e">
        <f>+'Option inputs'!#REF!</f>
        <v>#REF!</v>
      </c>
      <c r="C108" s="13" t="e">
        <f>+'Option inputs'!#REF!</f>
        <v>#REF!</v>
      </c>
      <c r="D108" s="164"/>
      <c r="E108" s="173" t="s">
        <v>35</v>
      </c>
      <c r="F108" s="17" t="e">
        <f>Central!#REF!*'Weighted 2'!$F$8+Step!#REF!*'Weighted 2'!$G$8+Slow!#REF!*'Weighted 2'!$H$8</f>
        <v>#REF!</v>
      </c>
      <c r="G108" s="16" t="e">
        <f>(Central!#REF!*'Weighted 2'!$F$8)+(Step!#REF!*'Weighted 2'!$G$8)+(Slow!#REF!*'Weighted 2'!$H$8)</f>
        <v>#REF!</v>
      </c>
      <c r="H108" s="16" t="e">
        <f>(Central!#REF!*'Weighted 2'!$F$8)+(Step!#REF!*'Weighted 2'!$G$8)+(Slow!#REF!*'Weighted 2'!$H$8)</f>
        <v>#REF!</v>
      </c>
      <c r="I108" s="16" t="e">
        <f>(Central!#REF!*'Weighted 2'!$F$8)+(Step!#REF!*'Weighted 2'!$G$8)+(Slow!#REF!*'Weighted 2'!$H$8)</f>
        <v>#REF!</v>
      </c>
      <c r="J108" s="16" t="e">
        <f>(Central!#REF!*'Weighted 2'!$F$8)+(Step!#REF!*'Weighted 2'!$G$8)+(Slow!#REF!*'Weighted 2'!$H$8)</f>
        <v>#REF!</v>
      </c>
      <c r="K108" s="16" t="e">
        <f>(Central!#REF!*'Weighted 2'!$F$8)+(Step!#REF!*'Weighted 2'!$G$8)+(Slow!#REF!*'Weighted 2'!$H$8)</f>
        <v>#REF!</v>
      </c>
      <c r="L108" s="16" t="e">
        <f>(Central!#REF!*'Weighted 2'!$F$8)+(Step!#REF!*'Weighted 2'!$G$8)+(Slow!#REF!*'Weighted 2'!$H$8)</f>
        <v>#REF!</v>
      </c>
      <c r="M108" s="16" t="e">
        <f>(Central!#REF!*'Weighted 2'!$F$8)+(Step!#REF!*'Weighted 2'!$G$8)+(Slow!#REF!*'Weighted 2'!$H$8)</f>
        <v>#REF!</v>
      </c>
      <c r="N108" s="16" t="e">
        <f>(Central!#REF!*'Weighted 2'!$F$8)+(Step!#REF!*'Weighted 2'!$G$8)+(Slow!#REF!*'Weighted 2'!$H$8)</f>
        <v>#REF!</v>
      </c>
      <c r="O108" s="16" t="e">
        <f>(Central!#REF!*'Weighted 2'!$F$8)+(Step!#REF!*'Weighted 2'!$G$8)+(Slow!#REF!*'Weighted 2'!$H$8)</f>
        <v>#REF!</v>
      </c>
      <c r="P108" s="16" t="e">
        <f>(Central!#REF!*'Weighted 2'!$F$8)+(Step!#REF!*'Weighted 2'!$G$8)+(Slow!#REF!*'Weighted 2'!$H$8)</f>
        <v>#REF!</v>
      </c>
      <c r="Q108" s="16" t="e">
        <f>(Central!#REF!*'Weighted 2'!$F$8)+(Step!#REF!*'Weighted 2'!$G$8)+(Slow!#REF!*'Weighted 2'!$H$8)</f>
        <v>#REF!</v>
      </c>
      <c r="R108" s="16" t="e">
        <f>(Central!#REF!*'Weighted 2'!$F$8)+(Step!#REF!*'Weighted 2'!$G$8)+(Slow!#REF!*'Weighted 2'!$H$8)</f>
        <v>#REF!</v>
      </c>
      <c r="S108" s="16" t="e">
        <f>(Central!#REF!*'Weighted 2'!$F$8)+(Step!#REF!*'Weighted 2'!$G$8)+(Slow!#REF!*'Weighted 2'!$H$8)</f>
        <v>#REF!</v>
      </c>
      <c r="T108" s="16" t="e">
        <f>(Central!#REF!*'Weighted 2'!$F$8)+(Step!#REF!*'Weighted 2'!$G$8)+(Slow!#REF!*'Weighted 2'!$H$8)</f>
        <v>#REF!</v>
      </c>
      <c r="U108" s="16" t="e">
        <f>(Central!#REF!*'Weighted 2'!$F$8)+(Step!#REF!*'Weighted 2'!$G$8)+(Slow!#REF!*'Weighted 2'!$H$8)</f>
        <v>#REF!</v>
      </c>
      <c r="V108" s="16" t="e">
        <f>(Central!#REF!*'Weighted 2'!$F$8)+(Step!#REF!*'Weighted 2'!$G$8)+(Slow!#REF!*'Weighted 2'!$H$8)</f>
        <v>#REF!</v>
      </c>
      <c r="W108" s="16" t="e">
        <f>(Central!#REF!*'Weighted 2'!$F$8)+(Step!#REF!*'Weighted 2'!$G$8)+(Slow!#REF!*'Weighted 2'!$H$8)</f>
        <v>#REF!</v>
      </c>
      <c r="X108" s="16" t="e">
        <f>(Central!#REF!*'Weighted 2'!$F$8)+(Step!#REF!*'Weighted 2'!$G$8)+(Slow!#REF!*'Weighted 2'!$H$8)</f>
        <v>#REF!</v>
      </c>
      <c r="Y108" s="16" t="e">
        <f>(Central!#REF!*'Weighted 2'!$F$8)+(Step!#REF!*'Weighted 2'!$G$8)+(Slow!#REF!*'Weighted 2'!$H$8)</f>
        <v>#REF!</v>
      </c>
      <c r="Z108" s="16" t="e">
        <f>(Central!#REF!*'Weighted 2'!$F$8)+(Step!#REF!*'Weighted 2'!$G$8)+(Slow!#REF!*'Weighted 2'!$H$8)</f>
        <v>#REF!</v>
      </c>
      <c r="AA108" s="16" t="e">
        <f>(Central!#REF!*'Weighted 2'!$F$8)+(Step!#REF!*'Weighted 2'!$G$8)+(Slow!#REF!*'Weighted 2'!$H$8)</f>
        <v>#REF!</v>
      </c>
      <c r="AB108" s="16" t="e">
        <f>(Central!#REF!*'Weighted 2'!$F$8)+(Step!#REF!*'Weighted 2'!$G$8)+(Slow!#REF!*'Weighted 2'!$H$8)</f>
        <v>#REF!</v>
      </c>
      <c r="AC108" s="16" t="e">
        <f>(Central!#REF!*'Weighted 2'!$F$8)+(Step!#REF!*'Weighted 2'!$G$8)+(Slow!#REF!*'Weighted 2'!$H$8)</f>
        <v>#REF!</v>
      </c>
      <c r="AD108" s="16" t="e">
        <f>(Central!#REF!*'Weighted 2'!$F$8)+(Step!#REF!*'Weighted 2'!$G$8)+(Slow!#REF!*'Weighted 2'!$H$8)</f>
        <v>#REF!</v>
      </c>
      <c r="AE108" s="16" t="e">
        <f>(Central!#REF!*'Weighted 2'!$F$8)+(Step!#REF!*'Weighted 2'!$G$8)+(Slow!#REF!*'Weighted 2'!$H$8)</f>
        <v>#REF!</v>
      </c>
      <c r="AF108" s="16" t="e">
        <f>(Central!#REF!*'Weighted 2'!$F$8)+(Step!#REF!*'Weighted 2'!$G$8)+(Slow!#REF!*'Weighted 2'!$H$8)</f>
        <v>#REF!</v>
      </c>
    </row>
    <row r="109" spans="1:32" x14ac:dyDescent="0.2">
      <c r="B109" s="172" t="e">
        <f>+'Option inputs'!#REF!</f>
        <v>#REF!</v>
      </c>
      <c r="C109" s="13" t="e">
        <f>+'Option inputs'!#REF!</f>
        <v>#REF!</v>
      </c>
      <c r="D109" s="164"/>
      <c r="E109" s="173" t="s">
        <v>35</v>
      </c>
      <c r="F109" s="17" t="e">
        <f>Central!#REF!*'Weighted 2'!$F$8+Step!#REF!*'Weighted 2'!$G$8+Slow!#REF!*'Weighted 2'!$H$8</f>
        <v>#REF!</v>
      </c>
      <c r="G109" s="16" t="e">
        <f>(Central!#REF!*'Weighted 2'!$F$8)+(Step!#REF!*'Weighted 2'!$G$8)+(Slow!#REF!*'Weighted 2'!$H$8)</f>
        <v>#REF!</v>
      </c>
      <c r="H109" s="16" t="e">
        <f>(Central!#REF!*'Weighted 2'!$F$8)+(Step!#REF!*'Weighted 2'!$G$8)+(Slow!#REF!*'Weighted 2'!$H$8)</f>
        <v>#REF!</v>
      </c>
      <c r="I109" s="16" t="e">
        <f>(Central!#REF!*'Weighted 2'!$F$8)+(Step!#REF!*'Weighted 2'!$G$8)+(Slow!#REF!*'Weighted 2'!$H$8)</f>
        <v>#REF!</v>
      </c>
      <c r="J109" s="16" t="e">
        <f>(Central!#REF!*'Weighted 2'!$F$8)+(Step!#REF!*'Weighted 2'!$G$8)+(Slow!#REF!*'Weighted 2'!$H$8)</f>
        <v>#REF!</v>
      </c>
      <c r="K109" s="16" t="e">
        <f>(Central!#REF!*'Weighted 2'!$F$8)+(Step!#REF!*'Weighted 2'!$G$8)+(Slow!#REF!*'Weighted 2'!$H$8)</f>
        <v>#REF!</v>
      </c>
      <c r="L109" s="16" t="e">
        <f>(Central!#REF!*'Weighted 2'!$F$8)+(Step!#REF!*'Weighted 2'!$G$8)+(Slow!#REF!*'Weighted 2'!$H$8)</f>
        <v>#REF!</v>
      </c>
      <c r="M109" s="16" t="e">
        <f>(Central!#REF!*'Weighted 2'!$F$8)+(Step!#REF!*'Weighted 2'!$G$8)+(Slow!#REF!*'Weighted 2'!$H$8)</f>
        <v>#REF!</v>
      </c>
      <c r="N109" s="16" t="e">
        <f>(Central!#REF!*'Weighted 2'!$F$8)+(Step!#REF!*'Weighted 2'!$G$8)+(Slow!#REF!*'Weighted 2'!$H$8)</f>
        <v>#REF!</v>
      </c>
      <c r="O109" s="16" t="e">
        <f>(Central!#REF!*'Weighted 2'!$F$8)+(Step!#REF!*'Weighted 2'!$G$8)+(Slow!#REF!*'Weighted 2'!$H$8)</f>
        <v>#REF!</v>
      </c>
      <c r="P109" s="16" t="e">
        <f>(Central!#REF!*'Weighted 2'!$F$8)+(Step!#REF!*'Weighted 2'!$G$8)+(Slow!#REF!*'Weighted 2'!$H$8)</f>
        <v>#REF!</v>
      </c>
      <c r="Q109" s="16" t="e">
        <f>(Central!#REF!*'Weighted 2'!$F$8)+(Step!#REF!*'Weighted 2'!$G$8)+(Slow!#REF!*'Weighted 2'!$H$8)</f>
        <v>#REF!</v>
      </c>
      <c r="R109" s="16" t="e">
        <f>(Central!#REF!*'Weighted 2'!$F$8)+(Step!#REF!*'Weighted 2'!$G$8)+(Slow!#REF!*'Weighted 2'!$H$8)</f>
        <v>#REF!</v>
      </c>
      <c r="S109" s="16" t="e">
        <f>(Central!#REF!*'Weighted 2'!$F$8)+(Step!#REF!*'Weighted 2'!$G$8)+(Slow!#REF!*'Weighted 2'!$H$8)</f>
        <v>#REF!</v>
      </c>
      <c r="T109" s="16" t="e">
        <f>(Central!#REF!*'Weighted 2'!$F$8)+(Step!#REF!*'Weighted 2'!$G$8)+(Slow!#REF!*'Weighted 2'!$H$8)</f>
        <v>#REF!</v>
      </c>
      <c r="U109" s="16" t="e">
        <f>(Central!#REF!*'Weighted 2'!$F$8)+(Step!#REF!*'Weighted 2'!$G$8)+(Slow!#REF!*'Weighted 2'!$H$8)</f>
        <v>#REF!</v>
      </c>
      <c r="V109" s="16" t="e">
        <f>(Central!#REF!*'Weighted 2'!$F$8)+(Step!#REF!*'Weighted 2'!$G$8)+(Slow!#REF!*'Weighted 2'!$H$8)</f>
        <v>#REF!</v>
      </c>
      <c r="W109" s="16" t="e">
        <f>(Central!#REF!*'Weighted 2'!$F$8)+(Step!#REF!*'Weighted 2'!$G$8)+(Slow!#REF!*'Weighted 2'!$H$8)</f>
        <v>#REF!</v>
      </c>
      <c r="X109" s="16" t="e">
        <f>(Central!#REF!*'Weighted 2'!$F$8)+(Step!#REF!*'Weighted 2'!$G$8)+(Slow!#REF!*'Weighted 2'!$H$8)</f>
        <v>#REF!</v>
      </c>
      <c r="Y109" s="16" t="e">
        <f>(Central!#REF!*'Weighted 2'!$F$8)+(Step!#REF!*'Weighted 2'!$G$8)+(Slow!#REF!*'Weighted 2'!$H$8)</f>
        <v>#REF!</v>
      </c>
      <c r="Z109" s="16" t="e">
        <f>(Central!#REF!*'Weighted 2'!$F$8)+(Step!#REF!*'Weighted 2'!$G$8)+(Slow!#REF!*'Weighted 2'!$H$8)</f>
        <v>#REF!</v>
      </c>
      <c r="AA109" s="16" t="e">
        <f>(Central!#REF!*'Weighted 2'!$F$8)+(Step!#REF!*'Weighted 2'!$G$8)+(Slow!#REF!*'Weighted 2'!$H$8)</f>
        <v>#REF!</v>
      </c>
      <c r="AB109" s="16" t="e">
        <f>(Central!#REF!*'Weighted 2'!$F$8)+(Step!#REF!*'Weighted 2'!$G$8)+(Slow!#REF!*'Weighted 2'!$H$8)</f>
        <v>#REF!</v>
      </c>
      <c r="AC109" s="16" t="e">
        <f>(Central!#REF!*'Weighted 2'!$F$8)+(Step!#REF!*'Weighted 2'!$G$8)+(Slow!#REF!*'Weighted 2'!$H$8)</f>
        <v>#REF!</v>
      </c>
      <c r="AD109" s="16" t="e">
        <f>(Central!#REF!*'Weighted 2'!$F$8)+(Step!#REF!*'Weighted 2'!$G$8)+(Slow!#REF!*'Weighted 2'!$H$8)</f>
        <v>#REF!</v>
      </c>
      <c r="AE109" s="16" t="e">
        <f>(Central!#REF!*'Weighted 2'!$F$8)+(Step!#REF!*'Weighted 2'!$G$8)+(Slow!#REF!*'Weighted 2'!$H$8)</f>
        <v>#REF!</v>
      </c>
      <c r="AF109" s="16" t="e">
        <f>(Central!#REF!*'Weighted 2'!$F$8)+(Step!#REF!*'Weighted 2'!$G$8)+(Slow!#REF!*'Weighted 2'!$H$8)</f>
        <v>#REF!</v>
      </c>
    </row>
    <row r="110" spans="1:32" x14ac:dyDescent="0.2">
      <c r="B110" s="172" t="e">
        <f>+'Option inputs'!#REF!</f>
        <v>#REF!</v>
      </c>
      <c r="C110" s="13" t="e">
        <f>+'Option inputs'!#REF!</f>
        <v>#REF!</v>
      </c>
      <c r="D110" s="164"/>
      <c r="E110" s="173" t="s">
        <v>35</v>
      </c>
      <c r="F110" s="17" t="e">
        <f>Central!#REF!*'Weighted 2'!$F$8+Step!#REF!*'Weighted 2'!$G$8+Slow!#REF!*'Weighted 2'!$H$8</f>
        <v>#REF!</v>
      </c>
      <c r="G110" s="16" t="e">
        <f>(Central!#REF!*'Weighted 2'!$F$8)+(Step!#REF!*'Weighted 2'!$G$8)+(Slow!#REF!*'Weighted 2'!$H$8)</f>
        <v>#REF!</v>
      </c>
      <c r="H110" s="16" t="e">
        <f>(Central!#REF!*'Weighted 2'!$F$8)+(Step!#REF!*'Weighted 2'!$G$8)+(Slow!#REF!*'Weighted 2'!$H$8)</f>
        <v>#REF!</v>
      </c>
      <c r="I110" s="16" t="e">
        <f>(Central!#REF!*'Weighted 2'!$F$8)+(Step!#REF!*'Weighted 2'!$G$8)+(Slow!#REF!*'Weighted 2'!$H$8)</f>
        <v>#REF!</v>
      </c>
      <c r="J110" s="16" t="e">
        <f>(Central!#REF!*'Weighted 2'!$F$8)+(Step!#REF!*'Weighted 2'!$G$8)+(Slow!#REF!*'Weighted 2'!$H$8)</f>
        <v>#REF!</v>
      </c>
      <c r="K110" s="16" t="e">
        <f>(Central!#REF!*'Weighted 2'!$F$8)+(Step!#REF!*'Weighted 2'!$G$8)+(Slow!#REF!*'Weighted 2'!$H$8)</f>
        <v>#REF!</v>
      </c>
      <c r="L110" s="16" t="e">
        <f>(Central!#REF!*'Weighted 2'!$F$8)+(Step!#REF!*'Weighted 2'!$G$8)+(Slow!#REF!*'Weighted 2'!$H$8)</f>
        <v>#REF!</v>
      </c>
      <c r="M110" s="16" t="e">
        <f>(Central!#REF!*'Weighted 2'!$F$8)+(Step!#REF!*'Weighted 2'!$G$8)+(Slow!#REF!*'Weighted 2'!$H$8)</f>
        <v>#REF!</v>
      </c>
      <c r="N110" s="16" t="e">
        <f>(Central!#REF!*'Weighted 2'!$F$8)+(Step!#REF!*'Weighted 2'!$G$8)+(Slow!#REF!*'Weighted 2'!$H$8)</f>
        <v>#REF!</v>
      </c>
      <c r="O110" s="16" t="e">
        <f>(Central!#REF!*'Weighted 2'!$F$8)+(Step!#REF!*'Weighted 2'!$G$8)+(Slow!#REF!*'Weighted 2'!$H$8)</f>
        <v>#REF!</v>
      </c>
      <c r="P110" s="16" t="e">
        <f>(Central!#REF!*'Weighted 2'!$F$8)+(Step!#REF!*'Weighted 2'!$G$8)+(Slow!#REF!*'Weighted 2'!$H$8)</f>
        <v>#REF!</v>
      </c>
      <c r="Q110" s="16" t="e">
        <f>(Central!#REF!*'Weighted 2'!$F$8)+(Step!#REF!*'Weighted 2'!$G$8)+(Slow!#REF!*'Weighted 2'!$H$8)</f>
        <v>#REF!</v>
      </c>
      <c r="R110" s="16" t="e">
        <f>(Central!#REF!*'Weighted 2'!$F$8)+(Step!#REF!*'Weighted 2'!$G$8)+(Slow!#REF!*'Weighted 2'!$H$8)</f>
        <v>#REF!</v>
      </c>
      <c r="S110" s="16" t="e">
        <f>(Central!#REF!*'Weighted 2'!$F$8)+(Step!#REF!*'Weighted 2'!$G$8)+(Slow!#REF!*'Weighted 2'!$H$8)</f>
        <v>#REF!</v>
      </c>
      <c r="T110" s="16" t="e">
        <f>(Central!#REF!*'Weighted 2'!$F$8)+(Step!#REF!*'Weighted 2'!$G$8)+(Slow!#REF!*'Weighted 2'!$H$8)</f>
        <v>#REF!</v>
      </c>
      <c r="U110" s="16" t="e">
        <f>(Central!#REF!*'Weighted 2'!$F$8)+(Step!#REF!*'Weighted 2'!$G$8)+(Slow!#REF!*'Weighted 2'!$H$8)</f>
        <v>#REF!</v>
      </c>
      <c r="V110" s="16" t="e">
        <f>(Central!#REF!*'Weighted 2'!$F$8)+(Step!#REF!*'Weighted 2'!$G$8)+(Slow!#REF!*'Weighted 2'!$H$8)</f>
        <v>#REF!</v>
      </c>
      <c r="W110" s="16" t="e">
        <f>(Central!#REF!*'Weighted 2'!$F$8)+(Step!#REF!*'Weighted 2'!$G$8)+(Slow!#REF!*'Weighted 2'!$H$8)</f>
        <v>#REF!</v>
      </c>
      <c r="X110" s="16" t="e">
        <f>(Central!#REF!*'Weighted 2'!$F$8)+(Step!#REF!*'Weighted 2'!$G$8)+(Slow!#REF!*'Weighted 2'!$H$8)</f>
        <v>#REF!</v>
      </c>
      <c r="Y110" s="16" t="e">
        <f>(Central!#REF!*'Weighted 2'!$F$8)+(Step!#REF!*'Weighted 2'!$G$8)+(Slow!#REF!*'Weighted 2'!$H$8)</f>
        <v>#REF!</v>
      </c>
      <c r="Z110" s="16" t="e">
        <f>(Central!#REF!*'Weighted 2'!$F$8)+(Step!#REF!*'Weighted 2'!$G$8)+(Slow!#REF!*'Weighted 2'!$H$8)</f>
        <v>#REF!</v>
      </c>
      <c r="AA110" s="16" t="e">
        <f>(Central!#REF!*'Weighted 2'!$F$8)+(Step!#REF!*'Weighted 2'!$G$8)+(Slow!#REF!*'Weighted 2'!$H$8)</f>
        <v>#REF!</v>
      </c>
      <c r="AB110" s="16" t="e">
        <f>(Central!#REF!*'Weighted 2'!$F$8)+(Step!#REF!*'Weighted 2'!$G$8)+(Slow!#REF!*'Weighted 2'!$H$8)</f>
        <v>#REF!</v>
      </c>
      <c r="AC110" s="16" t="e">
        <f>(Central!#REF!*'Weighted 2'!$F$8)+(Step!#REF!*'Weighted 2'!$G$8)+(Slow!#REF!*'Weighted 2'!$H$8)</f>
        <v>#REF!</v>
      </c>
      <c r="AD110" s="16" t="e">
        <f>(Central!#REF!*'Weighted 2'!$F$8)+(Step!#REF!*'Weighted 2'!$G$8)+(Slow!#REF!*'Weighted 2'!$H$8)</f>
        <v>#REF!</v>
      </c>
      <c r="AE110" s="16" t="e">
        <f>(Central!#REF!*'Weighted 2'!$F$8)+(Step!#REF!*'Weighted 2'!$G$8)+(Slow!#REF!*'Weighted 2'!$H$8)</f>
        <v>#REF!</v>
      </c>
      <c r="AF110" s="16" t="e">
        <f>(Central!#REF!*'Weighted 2'!$F$8)+(Step!#REF!*'Weighted 2'!$G$8)+(Slow!#REF!*'Weighted 2'!$H$8)</f>
        <v>#REF!</v>
      </c>
    </row>
    <row r="111" spans="1:32" x14ac:dyDescent="0.2">
      <c r="B111" s="172" t="e">
        <f>+'Option inputs'!#REF!</f>
        <v>#REF!</v>
      </c>
      <c r="C111" s="13" t="e">
        <f>+'Option inputs'!#REF!</f>
        <v>#REF!</v>
      </c>
      <c r="D111" s="164"/>
      <c r="E111" s="173" t="s">
        <v>35</v>
      </c>
      <c r="F111" s="17" t="e">
        <f>Central!#REF!*'Weighted 2'!$F$8+Step!#REF!*'Weighted 2'!$G$8+Slow!#REF!*'Weighted 2'!$H$8</f>
        <v>#REF!</v>
      </c>
      <c r="G111" s="16" t="e">
        <f>(Central!#REF!*'Weighted 2'!$F$8)+(Step!#REF!*'Weighted 2'!$G$8)+(Slow!#REF!*'Weighted 2'!$H$8)</f>
        <v>#REF!</v>
      </c>
      <c r="H111" s="16" t="e">
        <f>(Central!#REF!*'Weighted 2'!$F$8)+(Step!#REF!*'Weighted 2'!$G$8)+(Slow!#REF!*'Weighted 2'!$H$8)</f>
        <v>#REF!</v>
      </c>
      <c r="I111" s="16" t="e">
        <f>(Central!#REF!*'Weighted 2'!$F$8)+(Step!#REF!*'Weighted 2'!$G$8)+(Slow!#REF!*'Weighted 2'!$H$8)</f>
        <v>#REF!</v>
      </c>
      <c r="J111" s="16" t="e">
        <f>(Central!#REF!*'Weighted 2'!$F$8)+(Step!#REF!*'Weighted 2'!$G$8)+(Slow!#REF!*'Weighted 2'!$H$8)</f>
        <v>#REF!</v>
      </c>
      <c r="K111" s="16" t="e">
        <f>(Central!#REF!*'Weighted 2'!$F$8)+(Step!#REF!*'Weighted 2'!$G$8)+(Slow!#REF!*'Weighted 2'!$H$8)</f>
        <v>#REF!</v>
      </c>
      <c r="L111" s="16" t="e">
        <f>(Central!#REF!*'Weighted 2'!$F$8)+(Step!#REF!*'Weighted 2'!$G$8)+(Slow!#REF!*'Weighted 2'!$H$8)</f>
        <v>#REF!</v>
      </c>
      <c r="M111" s="16" t="e">
        <f>(Central!#REF!*'Weighted 2'!$F$8)+(Step!#REF!*'Weighted 2'!$G$8)+(Slow!#REF!*'Weighted 2'!$H$8)</f>
        <v>#REF!</v>
      </c>
      <c r="N111" s="16" t="e">
        <f>(Central!#REF!*'Weighted 2'!$F$8)+(Step!#REF!*'Weighted 2'!$G$8)+(Slow!#REF!*'Weighted 2'!$H$8)</f>
        <v>#REF!</v>
      </c>
      <c r="O111" s="16" t="e">
        <f>(Central!#REF!*'Weighted 2'!$F$8)+(Step!#REF!*'Weighted 2'!$G$8)+(Slow!#REF!*'Weighted 2'!$H$8)</f>
        <v>#REF!</v>
      </c>
      <c r="P111" s="16" t="e">
        <f>(Central!#REF!*'Weighted 2'!$F$8)+(Step!#REF!*'Weighted 2'!$G$8)+(Slow!#REF!*'Weighted 2'!$H$8)</f>
        <v>#REF!</v>
      </c>
      <c r="Q111" s="16" t="e">
        <f>(Central!#REF!*'Weighted 2'!$F$8)+(Step!#REF!*'Weighted 2'!$G$8)+(Slow!#REF!*'Weighted 2'!$H$8)</f>
        <v>#REF!</v>
      </c>
      <c r="R111" s="16" t="e">
        <f>(Central!#REF!*'Weighted 2'!$F$8)+(Step!#REF!*'Weighted 2'!$G$8)+(Slow!#REF!*'Weighted 2'!$H$8)</f>
        <v>#REF!</v>
      </c>
      <c r="S111" s="16" t="e">
        <f>(Central!#REF!*'Weighted 2'!$F$8)+(Step!#REF!*'Weighted 2'!$G$8)+(Slow!#REF!*'Weighted 2'!$H$8)</f>
        <v>#REF!</v>
      </c>
      <c r="T111" s="16" t="e">
        <f>(Central!#REF!*'Weighted 2'!$F$8)+(Step!#REF!*'Weighted 2'!$G$8)+(Slow!#REF!*'Weighted 2'!$H$8)</f>
        <v>#REF!</v>
      </c>
      <c r="U111" s="16" t="e">
        <f>(Central!#REF!*'Weighted 2'!$F$8)+(Step!#REF!*'Weighted 2'!$G$8)+(Slow!#REF!*'Weighted 2'!$H$8)</f>
        <v>#REF!</v>
      </c>
      <c r="V111" s="16" t="e">
        <f>(Central!#REF!*'Weighted 2'!$F$8)+(Step!#REF!*'Weighted 2'!$G$8)+(Slow!#REF!*'Weighted 2'!$H$8)</f>
        <v>#REF!</v>
      </c>
      <c r="W111" s="16" t="e">
        <f>(Central!#REF!*'Weighted 2'!$F$8)+(Step!#REF!*'Weighted 2'!$G$8)+(Slow!#REF!*'Weighted 2'!$H$8)</f>
        <v>#REF!</v>
      </c>
      <c r="X111" s="16" t="e">
        <f>(Central!#REF!*'Weighted 2'!$F$8)+(Step!#REF!*'Weighted 2'!$G$8)+(Slow!#REF!*'Weighted 2'!$H$8)</f>
        <v>#REF!</v>
      </c>
      <c r="Y111" s="16" t="e">
        <f>(Central!#REF!*'Weighted 2'!$F$8)+(Step!#REF!*'Weighted 2'!$G$8)+(Slow!#REF!*'Weighted 2'!$H$8)</f>
        <v>#REF!</v>
      </c>
      <c r="Z111" s="16" t="e">
        <f>(Central!#REF!*'Weighted 2'!$F$8)+(Step!#REF!*'Weighted 2'!$G$8)+(Slow!#REF!*'Weighted 2'!$H$8)</f>
        <v>#REF!</v>
      </c>
      <c r="AA111" s="16" t="e">
        <f>(Central!#REF!*'Weighted 2'!$F$8)+(Step!#REF!*'Weighted 2'!$G$8)+(Slow!#REF!*'Weighted 2'!$H$8)</f>
        <v>#REF!</v>
      </c>
      <c r="AB111" s="16" t="e">
        <f>(Central!#REF!*'Weighted 2'!$F$8)+(Step!#REF!*'Weighted 2'!$G$8)+(Slow!#REF!*'Weighted 2'!$H$8)</f>
        <v>#REF!</v>
      </c>
      <c r="AC111" s="16" t="e">
        <f>(Central!#REF!*'Weighted 2'!$F$8)+(Step!#REF!*'Weighted 2'!$G$8)+(Slow!#REF!*'Weighted 2'!$H$8)</f>
        <v>#REF!</v>
      </c>
      <c r="AD111" s="16" t="e">
        <f>(Central!#REF!*'Weighted 2'!$F$8)+(Step!#REF!*'Weighted 2'!$G$8)+(Slow!#REF!*'Weighted 2'!$H$8)</f>
        <v>#REF!</v>
      </c>
      <c r="AE111" s="16" t="e">
        <f>(Central!#REF!*'Weighted 2'!$F$8)+(Step!#REF!*'Weighted 2'!$G$8)+(Slow!#REF!*'Weighted 2'!$H$8)</f>
        <v>#REF!</v>
      </c>
      <c r="AF111" s="16" t="e">
        <f>(Central!#REF!*'Weighted 2'!$F$8)+(Step!#REF!*'Weighted 2'!$G$8)+(Slow!#REF!*'Weighted 2'!$H$8)</f>
        <v>#REF!</v>
      </c>
    </row>
    <row r="112" spans="1:32" x14ac:dyDescent="0.2">
      <c r="B112" s="161"/>
      <c r="C112" s="165"/>
      <c r="D112" s="165"/>
      <c r="E112" s="161"/>
      <c r="F112" s="126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</row>
    <row r="113" spans="2:32" ht="15.75" x14ac:dyDescent="0.25">
      <c r="B113" s="166" t="str">
        <f>+'CBA Inputs'!B223</f>
        <v xml:space="preserve">Fuel consumption from generation dispatch </v>
      </c>
      <c r="C113" s="167"/>
      <c r="D113" s="167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</row>
    <row r="114" spans="2:32" ht="15.75" x14ac:dyDescent="0.25">
      <c r="B114" s="168" t="s">
        <v>14</v>
      </c>
      <c r="C114" s="169" t="s">
        <v>13</v>
      </c>
      <c r="D114" s="169"/>
      <c r="E114" s="170" t="s">
        <v>22</v>
      </c>
      <c r="F114" s="170" t="s">
        <v>37</v>
      </c>
      <c r="G114" s="171" t="str">
        <f>G$55</f>
        <v>FY 2020-21</v>
      </c>
      <c r="H114" s="171" t="str">
        <f t="shared" ref="H114:AF114" si="20">H$55</f>
        <v>FY 2021-22</v>
      </c>
      <c r="I114" s="171" t="str">
        <f t="shared" si="20"/>
        <v>FY 2022-23</v>
      </c>
      <c r="J114" s="171" t="str">
        <f t="shared" si="20"/>
        <v>FY 2023-24</v>
      </c>
      <c r="K114" s="171" t="str">
        <f t="shared" si="20"/>
        <v>FY 2024-25</v>
      </c>
      <c r="L114" s="171" t="str">
        <f t="shared" si="20"/>
        <v>FY 2025-26</v>
      </c>
      <c r="M114" s="171" t="str">
        <f t="shared" si="20"/>
        <v>FY 2026-27</v>
      </c>
      <c r="N114" s="171" t="str">
        <f t="shared" si="20"/>
        <v>FY 2027-28</v>
      </c>
      <c r="O114" s="171" t="str">
        <f t="shared" si="20"/>
        <v>FY 2028-29</v>
      </c>
      <c r="P114" s="171" t="str">
        <f t="shared" si="20"/>
        <v>FY 2029-30</v>
      </c>
      <c r="Q114" s="171" t="str">
        <f t="shared" si="20"/>
        <v>FY 2030-31</v>
      </c>
      <c r="R114" s="171" t="str">
        <f t="shared" si="20"/>
        <v>FY 2031-32</v>
      </c>
      <c r="S114" s="171" t="str">
        <f t="shared" si="20"/>
        <v>FY 2032-33</v>
      </c>
      <c r="T114" s="171" t="str">
        <f t="shared" si="20"/>
        <v>FY 2033-34</v>
      </c>
      <c r="U114" s="171" t="str">
        <f t="shared" si="20"/>
        <v>FY 2034-35</v>
      </c>
      <c r="V114" s="171" t="str">
        <f t="shared" si="20"/>
        <v>FY 2035-36</v>
      </c>
      <c r="W114" s="171" t="str">
        <f t="shared" si="20"/>
        <v>FY 2036-37</v>
      </c>
      <c r="X114" s="171" t="str">
        <f t="shared" si="20"/>
        <v>FY 2037-38</v>
      </c>
      <c r="Y114" s="171" t="str">
        <f t="shared" si="20"/>
        <v>FY 2038-39</v>
      </c>
      <c r="Z114" s="171" t="str">
        <f t="shared" si="20"/>
        <v>FY 2039-40</v>
      </c>
      <c r="AA114" s="171" t="str">
        <f t="shared" si="20"/>
        <v>FY 2040-41</v>
      </c>
      <c r="AB114" s="171" t="str">
        <f t="shared" si="20"/>
        <v>FY 2041-42</v>
      </c>
      <c r="AC114" s="171" t="str">
        <f t="shared" si="20"/>
        <v>FY 2042-43</v>
      </c>
      <c r="AD114" s="171" t="str">
        <f t="shared" si="20"/>
        <v>FY 2043-44</v>
      </c>
      <c r="AE114" s="171" t="str">
        <f t="shared" si="20"/>
        <v>FY 2044-45</v>
      </c>
      <c r="AF114" s="171" t="str">
        <f t="shared" si="20"/>
        <v>FY 2045-46</v>
      </c>
    </row>
    <row r="115" spans="2:32" x14ac:dyDescent="0.2">
      <c r="B115" s="172">
        <f>+'Option inputs'!$B$15</f>
        <v>1</v>
      </c>
      <c r="C115" s="13" t="str">
        <f>+'Option inputs'!$C$15</f>
        <v>Option 1A</v>
      </c>
      <c r="D115" s="164"/>
      <c r="E115" s="173" t="s">
        <v>35</v>
      </c>
      <c r="F115" s="17">
        <f>Central!F105*'Weighted 2'!$F$8+Step!F105*'Weighted 2'!$G$8+Slow!F105*'Weighted 2'!$H$8</f>
        <v>83676822.087358266</v>
      </c>
      <c r="G115" s="16">
        <f>(Central!G105*'Weighted 2'!$F$8)+(Step!G105*'Weighted 2'!$G$8)+(Slow!G105*'Weighted 2'!$H$8)</f>
        <v>0</v>
      </c>
      <c r="H115" s="16">
        <f>(Central!H105*'Weighted 2'!$F$8)+(Step!H105*'Weighted 2'!$G$8)+(Slow!H105*'Weighted 2'!$H$8)</f>
        <v>875770.81541240215</v>
      </c>
      <c r="I115" s="16">
        <f>(Central!I105*'Weighted 2'!$F$8)+(Step!I105*'Weighted 2'!$G$8)+(Slow!I105*'Weighted 2'!$H$8)</f>
        <v>764829.18501007557</v>
      </c>
      <c r="J115" s="16">
        <f>(Central!J105*'Weighted 2'!$F$8)+(Step!J105*'Weighted 2'!$G$8)+(Slow!J105*'Weighted 2'!$H$8)</f>
        <v>-688121.62012124062</v>
      </c>
      <c r="K115" s="16">
        <f>(Central!K105*'Weighted 2'!$F$8)+(Step!K105*'Weighted 2'!$G$8)+(Slow!K105*'Weighted 2'!$H$8)</f>
        <v>6230517.1472648382</v>
      </c>
      <c r="L115" s="16">
        <f>(Central!L105*'Weighted 2'!$F$8)+(Step!L105*'Weighted 2'!$G$8)+(Slow!L105*'Weighted 2'!$H$8)</f>
        <v>15407417.034266233</v>
      </c>
      <c r="M115" s="16">
        <f>(Central!M105*'Weighted 2'!$F$8)+(Step!M105*'Weighted 2'!$G$8)+(Slow!M105*'Weighted 2'!$H$8)</f>
        <v>14060949.48422569</v>
      </c>
      <c r="N115" s="16">
        <f>(Central!N105*'Weighted 2'!$F$8)+(Step!N105*'Weighted 2'!$G$8)+(Slow!N105*'Weighted 2'!$H$8)</f>
        <v>16047042.037785351</v>
      </c>
      <c r="O115" s="16">
        <f>(Central!O105*'Weighted 2'!$F$8)+(Step!O105*'Weighted 2'!$G$8)+(Slow!O105*'Weighted 2'!$H$8)</f>
        <v>9954522.3996699452</v>
      </c>
      <c r="P115" s="16">
        <f>(Central!P105*'Weighted 2'!$F$8)+(Step!P105*'Weighted 2'!$G$8)+(Slow!P105*'Weighted 2'!$H$8)</f>
        <v>10593108.10539937</v>
      </c>
      <c r="Q115" s="16">
        <f>(Central!Q105*'Weighted 2'!$F$8)+(Step!Q105*'Weighted 2'!$G$8)+(Slow!Q105*'Weighted 2'!$H$8)</f>
        <v>13902196.128948033</v>
      </c>
      <c r="R115" s="16">
        <f>(Central!R105*'Weighted 2'!$F$8)+(Step!R105*'Weighted 2'!$G$8)+(Slow!R105*'Weighted 2'!$H$8)</f>
        <v>15190451.994847149</v>
      </c>
      <c r="S115" s="16">
        <f>(Central!S105*'Weighted 2'!$F$8)+(Step!S105*'Weighted 2'!$G$8)+(Slow!S105*'Weighted 2'!$H$8)</f>
        <v>15251042.222368807</v>
      </c>
      <c r="T115" s="16">
        <f>(Central!T105*'Weighted 2'!$F$8)+(Step!T105*'Weighted 2'!$G$8)+(Slow!T105*'Weighted 2'!$H$8)</f>
        <v>15979304.789502382</v>
      </c>
      <c r="U115" s="16">
        <f>(Central!U105*'Weighted 2'!$F$8)+(Step!U105*'Weighted 2'!$G$8)+(Slow!U105*'Weighted 2'!$H$8)</f>
        <v>12625065.457579255</v>
      </c>
      <c r="V115" s="16">
        <f>(Central!V105*'Weighted 2'!$F$8)+(Step!V105*'Weighted 2'!$G$8)+(Slow!V105*'Weighted 2'!$H$8)</f>
        <v>2404383.960983336</v>
      </c>
      <c r="W115" s="16">
        <f>(Central!W105*'Weighted 2'!$F$8)+(Step!W105*'Weighted 2'!$G$8)+(Slow!W105*'Weighted 2'!$H$8)</f>
        <v>2862017.3941326141</v>
      </c>
      <c r="X115" s="16">
        <f>(Central!X105*'Weighted 2'!$F$8)+(Step!X105*'Weighted 2'!$G$8)+(Slow!X105*'Weighted 2'!$H$8)</f>
        <v>758085.1214274168</v>
      </c>
      <c r="Y115" s="16">
        <f>(Central!Y105*'Weighted 2'!$F$8)+(Step!Y105*'Weighted 2'!$G$8)+(Slow!Y105*'Weighted 2'!$H$8)</f>
        <v>-499737.51411220431</v>
      </c>
      <c r="Z115" s="16">
        <f>(Central!Z105*'Weighted 2'!$F$8)+(Step!Z105*'Weighted 2'!$G$8)+(Slow!Z105*'Weighted 2'!$H$8)</f>
        <v>-4310370.065312922</v>
      </c>
      <c r="AA115" s="16">
        <f>(Central!AA105*'Weighted 2'!$F$8)+(Step!AA105*'Weighted 2'!$G$8)+(Slow!AA105*'Weighted 2'!$H$8)</f>
        <v>-2543053.7449474931</v>
      </c>
      <c r="AB115" s="16">
        <f>(Central!AB105*'Weighted 2'!$F$8)+(Step!AB105*'Weighted 2'!$G$8)+(Slow!AB105*'Weighted 2'!$H$8)</f>
        <v>1357580.5275048912</v>
      </c>
      <c r="AC115" s="16">
        <f>(Central!AC105*'Weighted 2'!$F$8)+(Step!AC105*'Weighted 2'!$G$8)+(Slow!AC105*'Weighted 2'!$H$8)</f>
        <v>-606317.84372967482</v>
      </c>
      <c r="AD115" s="16">
        <f>(Central!AD105*'Weighted 2'!$F$8)+(Step!AD105*'Weighted 2'!$G$8)+(Slow!AD105*'Weighted 2'!$H$8)</f>
        <v>-1023714.2952953279</v>
      </c>
      <c r="AE115" s="16">
        <f>(Central!AE105*'Weighted 2'!$F$8)+(Step!AE105*'Weighted 2'!$G$8)+(Slow!AE105*'Weighted 2'!$H$8)</f>
        <v>1189095.8050454408</v>
      </c>
      <c r="AF115" s="16">
        <f>(Central!AF105*'Weighted 2'!$F$8)+(Step!AF105*'Weighted 2'!$G$8)+(Slow!AF105*'Weighted 2'!$H$8)</f>
        <v>3064828.2289418429</v>
      </c>
    </row>
    <row r="116" spans="2:32" x14ac:dyDescent="0.2">
      <c r="B116" s="172">
        <f>+'Option inputs'!$B$16</f>
        <v>2</v>
      </c>
      <c r="C116" s="13" t="str">
        <f>+'Option inputs'!$C$16</f>
        <v>Option 1B</v>
      </c>
      <c r="D116" s="164"/>
      <c r="E116" s="173" t="s">
        <v>35</v>
      </c>
      <c r="F116" s="17">
        <f>Central!F106*'Weighted 2'!$F$8+Step!F106*'Weighted 2'!$G$8+Slow!F106*'Weighted 2'!$H$8</f>
        <v>83676822.087358266</v>
      </c>
      <c r="G116" s="16">
        <f>(Central!G106*'Weighted 2'!$F$8)+(Step!G106*'Weighted 2'!$G$8)+(Slow!G106*'Weighted 2'!$H$8)</f>
        <v>0</v>
      </c>
      <c r="H116" s="16">
        <f>(Central!H106*'Weighted 2'!$F$8)+(Step!H106*'Weighted 2'!$G$8)+(Slow!H106*'Weighted 2'!$H$8)</f>
        <v>875770.81541240215</v>
      </c>
      <c r="I116" s="16">
        <f>(Central!I106*'Weighted 2'!$F$8)+(Step!I106*'Weighted 2'!$G$8)+(Slow!I106*'Weighted 2'!$H$8)</f>
        <v>764829.18501007557</v>
      </c>
      <c r="J116" s="16">
        <f>(Central!J106*'Weighted 2'!$F$8)+(Step!J106*'Weighted 2'!$G$8)+(Slow!J106*'Weighted 2'!$H$8)</f>
        <v>-688121.62012124062</v>
      </c>
      <c r="K116" s="16">
        <f>(Central!K106*'Weighted 2'!$F$8)+(Step!K106*'Weighted 2'!$G$8)+(Slow!K106*'Weighted 2'!$H$8)</f>
        <v>6230517.1472648382</v>
      </c>
      <c r="L116" s="16">
        <f>(Central!L106*'Weighted 2'!$F$8)+(Step!L106*'Weighted 2'!$G$8)+(Slow!L106*'Weighted 2'!$H$8)</f>
        <v>15407417.034266233</v>
      </c>
      <c r="M116" s="16">
        <f>(Central!M106*'Weighted 2'!$F$8)+(Step!M106*'Weighted 2'!$G$8)+(Slow!M106*'Weighted 2'!$H$8)</f>
        <v>14060949.48422569</v>
      </c>
      <c r="N116" s="16">
        <f>(Central!N106*'Weighted 2'!$F$8)+(Step!N106*'Weighted 2'!$G$8)+(Slow!N106*'Weighted 2'!$H$8)</f>
        <v>16047042.037785351</v>
      </c>
      <c r="O116" s="16">
        <f>(Central!O106*'Weighted 2'!$F$8)+(Step!O106*'Weighted 2'!$G$8)+(Slow!O106*'Weighted 2'!$H$8)</f>
        <v>9954522.3996699452</v>
      </c>
      <c r="P116" s="16">
        <f>(Central!P106*'Weighted 2'!$F$8)+(Step!P106*'Weighted 2'!$G$8)+(Slow!P106*'Weighted 2'!$H$8)</f>
        <v>10593108.10539937</v>
      </c>
      <c r="Q116" s="16">
        <f>(Central!Q106*'Weighted 2'!$F$8)+(Step!Q106*'Weighted 2'!$G$8)+(Slow!Q106*'Weighted 2'!$H$8)</f>
        <v>13902196.128948033</v>
      </c>
      <c r="R116" s="16">
        <f>(Central!R106*'Weighted 2'!$F$8)+(Step!R106*'Weighted 2'!$G$8)+(Slow!R106*'Weighted 2'!$H$8)</f>
        <v>15190451.994847149</v>
      </c>
      <c r="S116" s="16">
        <f>(Central!S106*'Weighted 2'!$F$8)+(Step!S106*'Weighted 2'!$G$8)+(Slow!S106*'Weighted 2'!$H$8)</f>
        <v>15251042.222368807</v>
      </c>
      <c r="T116" s="16">
        <f>(Central!T106*'Weighted 2'!$F$8)+(Step!T106*'Weighted 2'!$G$8)+(Slow!T106*'Weighted 2'!$H$8)</f>
        <v>15979304.789502382</v>
      </c>
      <c r="U116" s="16">
        <f>(Central!U106*'Weighted 2'!$F$8)+(Step!U106*'Weighted 2'!$G$8)+(Slow!U106*'Weighted 2'!$H$8)</f>
        <v>12625065.457579255</v>
      </c>
      <c r="V116" s="16">
        <f>(Central!V106*'Weighted 2'!$F$8)+(Step!V106*'Weighted 2'!$G$8)+(Slow!V106*'Weighted 2'!$H$8)</f>
        <v>2404383.960983336</v>
      </c>
      <c r="W116" s="16">
        <f>(Central!W106*'Weighted 2'!$F$8)+(Step!W106*'Weighted 2'!$G$8)+(Slow!W106*'Weighted 2'!$H$8)</f>
        <v>2862017.3941326141</v>
      </c>
      <c r="X116" s="16">
        <f>(Central!X106*'Weighted 2'!$F$8)+(Step!X106*'Weighted 2'!$G$8)+(Slow!X106*'Weighted 2'!$H$8)</f>
        <v>758085.1214274168</v>
      </c>
      <c r="Y116" s="16">
        <f>(Central!Y106*'Weighted 2'!$F$8)+(Step!Y106*'Weighted 2'!$G$8)+(Slow!Y106*'Weighted 2'!$H$8)</f>
        <v>-499737.51411220431</v>
      </c>
      <c r="Z116" s="16">
        <f>(Central!Z106*'Weighted 2'!$F$8)+(Step!Z106*'Weighted 2'!$G$8)+(Slow!Z106*'Weighted 2'!$H$8)</f>
        <v>-4310370.065312922</v>
      </c>
      <c r="AA116" s="16">
        <f>(Central!AA106*'Weighted 2'!$F$8)+(Step!AA106*'Weighted 2'!$G$8)+(Slow!AA106*'Weighted 2'!$H$8)</f>
        <v>-2543053.7449474931</v>
      </c>
      <c r="AB116" s="16">
        <f>(Central!AB106*'Weighted 2'!$F$8)+(Step!AB106*'Weighted 2'!$G$8)+(Slow!AB106*'Weighted 2'!$H$8)</f>
        <v>1357580.5275048912</v>
      </c>
      <c r="AC116" s="16">
        <f>(Central!AC106*'Weighted 2'!$F$8)+(Step!AC106*'Weighted 2'!$G$8)+(Slow!AC106*'Weighted 2'!$H$8)</f>
        <v>-606317.84372967482</v>
      </c>
      <c r="AD116" s="16">
        <f>(Central!AD106*'Weighted 2'!$F$8)+(Step!AD106*'Weighted 2'!$G$8)+(Slow!AD106*'Weighted 2'!$H$8)</f>
        <v>-1023714.2952953279</v>
      </c>
      <c r="AE116" s="16">
        <f>(Central!AE106*'Weighted 2'!$F$8)+(Step!AE106*'Weighted 2'!$G$8)+(Slow!AE106*'Weighted 2'!$H$8)</f>
        <v>1189095.8050454408</v>
      </c>
      <c r="AF116" s="16">
        <f>(Central!AF106*'Weighted 2'!$F$8)+(Step!AF106*'Weighted 2'!$G$8)+(Slow!AF106*'Weighted 2'!$H$8)</f>
        <v>3064828.2289418429</v>
      </c>
    </row>
    <row r="117" spans="2:32" x14ac:dyDescent="0.2">
      <c r="B117" s="172">
        <f>+'Option inputs'!$B$17</f>
        <v>3</v>
      </c>
      <c r="C117" s="13" t="str">
        <f>+'Option inputs'!$C$17</f>
        <v>Option 2</v>
      </c>
      <c r="D117" s="164"/>
      <c r="E117" s="173" t="s">
        <v>35</v>
      </c>
      <c r="F117" s="17">
        <f>Central!F107*'Weighted 2'!$F$8+Step!F107*'Weighted 2'!$G$8+Slow!F107*'Weighted 2'!$H$8</f>
        <v>90507397.153193891</v>
      </c>
      <c r="G117" s="16">
        <f>(Central!G107*'Weighted 2'!$F$8)+(Step!G107*'Weighted 2'!$G$8)+(Slow!G107*'Weighted 2'!$H$8)</f>
        <v>0</v>
      </c>
      <c r="H117" s="16">
        <f>(Central!H107*'Weighted 2'!$F$8)+(Step!H107*'Weighted 2'!$G$8)+(Slow!H107*'Weighted 2'!$H$8)</f>
        <v>905050.49839544296</v>
      </c>
      <c r="I117" s="16">
        <f>(Central!I107*'Weighted 2'!$F$8)+(Step!I107*'Weighted 2'!$G$8)+(Slow!I107*'Weighted 2'!$H$8)</f>
        <v>790880.08253931999</v>
      </c>
      <c r="J117" s="16">
        <f>(Central!J107*'Weighted 2'!$F$8)+(Step!J107*'Weighted 2'!$G$8)+(Slow!J107*'Weighted 2'!$H$8)</f>
        <v>-676204.6915320158</v>
      </c>
      <c r="K117" s="16">
        <f>(Central!K107*'Weighted 2'!$F$8)+(Step!K107*'Weighted 2'!$G$8)+(Slow!K107*'Weighted 2'!$H$8)</f>
        <v>6622562.1433036327</v>
      </c>
      <c r="L117" s="16">
        <f>(Central!L107*'Weighted 2'!$F$8)+(Step!L107*'Weighted 2'!$G$8)+(Slow!L107*'Weighted 2'!$H$8)</f>
        <v>16397012.556315184</v>
      </c>
      <c r="M117" s="16">
        <f>(Central!M107*'Weighted 2'!$F$8)+(Step!M107*'Weighted 2'!$G$8)+(Slow!M107*'Weighted 2'!$H$8)</f>
        <v>15239179.07671243</v>
      </c>
      <c r="N117" s="16">
        <f>(Central!N107*'Weighted 2'!$F$8)+(Step!N107*'Weighted 2'!$G$8)+(Slow!N107*'Weighted 2'!$H$8)</f>
        <v>17224825.992249906</v>
      </c>
      <c r="O117" s="16">
        <f>(Central!O107*'Weighted 2'!$F$8)+(Step!O107*'Weighted 2'!$G$8)+(Slow!O107*'Weighted 2'!$H$8)</f>
        <v>10428146.435738921</v>
      </c>
      <c r="P117" s="16">
        <f>(Central!P107*'Weighted 2'!$F$8)+(Step!P107*'Weighted 2'!$G$8)+(Slow!P107*'Weighted 2'!$H$8)</f>
        <v>11053667.348289251</v>
      </c>
      <c r="Q117" s="16">
        <f>(Central!Q107*'Weighted 2'!$F$8)+(Step!Q107*'Weighted 2'!$G$8)+(Slow!Q107*'Weighted 2'!$H$8)</f>
        <v>14370091.689417183</v>
      </c>
      <c r="R117" s="16">
        <f>(Central!R107*'Weighted 2'!$F$8)+(Step!R107*'Weighted 2'!$G$8)+(Slow!R107*'Weighted 2'!$H$8)</f>
        <v>15751705.107338279</v>
      </c>
      <c r="S117" s="16">
        <f>(Central!S107*'Weighted 2'!$F$8)+(Step!S107*'Weighted 2'!$G$8)+(Slow!S107*'Weighted 2'!$H$8)</f>
        <v>15977397.103717208</v>
      </c>
      <c r="T117" s="16">
        <f>(Central!T107*'Weighted 2'!$F$8)+(Step!T107*'Weighted 2'!$G$8)+(Slow!T107*'Weighted 2'!$H$8)</f>
        <v>16455756.449448466</v>
      </c>
      <c r="U117" s="16">
        <f>(Central!U107*'Weighted 2'!$F$8)+(Step!U107*'Weighted 2'!$G$8)+(Slow!U107*'Weighted 2'!$H$8)</f>
        <v>13517753.8469145</v>
      </c>
      <c r="V117" s="16">
        <f>(Central!V107*'Weighted 2'!$F$8)+(Step!V107*'Weighted 2'!$G$8)+(Slow!V107*'Weighted 2'!$H$8)</f>
        <v>2850870.5976247489</v>
      </c>
      <c r="W117" s="16">
        <f>(Central!W107*'Weighted 2'!$F$8)+(Step!W107*'Weighted 2'!$G$8)+(Slow!W107*'Weighted 2'!$H$8)</f>
        <v>3310405.6020410061</v>
      </c>
      <c r="X117" s="16">
        <f>(Central!X107*'Weighted 2'!$F$8)+(Step!X107*'Weighted 2'!$G$8)+(Slow!X107*'Weighted 2'!$H$8)</f>
        <v>1222363.2382278442</v>
      </c>
      <c r="Y117" s="16">
        <f>(Central!Y107*'Weighted 2'!$F$8)+(Step!Y107*'Weighted 2'!$G$8)+(Slow!Y107*'Weighted 2'!$H$8)</f>
        <v>219020.10494166613</v>
      </c>
      <c r="Z117" s="16">
        <f>(Central!Z107*'Weighted 2'!$F$8)+(Step!Z107*'Weighted 2'!$G$8)+(Slow!Z107*'Weighted 2'!$H$8)</f>
        <v>-3828453.4848691523</v>
      </c>
      <c r="AA117" s="16">
        <f>(Central!AA107*'Weighted 2'!$F$8)+(Step!AA107*'Weighted 2'!$G$8)+(Slow!AA107*'Weighted 2'!$H$8)</f>
        <v>-2054855.622840941</v>
      </c>
      <c r="AB117" s="16">
        <f>(Central!AB107*'Weighted 2'!$F$8)+(Step!AB107*'Weighted 2'!$G$8)+(Slow!AB107*'Weighted 2'!$H$8)</f>
        <v>1838239.1841671765</v>
      </c>
      <c r="AC117" s="16">
        <f>(Central!AC107*'Weighted 2'!$F$8)+(Step!AC107*'Weighted 2'!$G$8)+(Slow!AC107*'Weighted 2'!$H$8)</f>
        <v>980969.52674427629</v>
      </c>
      <c r="AD117" s="16">
        <f>(Central!AD107*'Weighted 2'!$F$8)+(Step!AD107*'Weighted 2'!$G$8)+(Slow!AD107*'Weighted 2'!$H$8)</f>
        <v>-138442.54782310128</v>
      </c>
      <c r="AE117" s="16">
        <f>(Central!AE107*'Weighted 2'!$F$8)+(Step!AE107*'Weighted 2'!$G$8)+(Slow!AE107*'Weighted 2'!$H$8)</f>
        <v>2077880.7881529033</v>
      </c>
      <c r="AF117" s="16">
        <f>(Central!AF107*'Weighted 2'!$F$8)+(Step!AF107*'Weighted 2'!$G$8)+(Slow!AF107*'Weighted 2'!$H$8)</f>
        <v>3877703.6106082648</v>
      </c>
    </row>
    <row r="118" spans="2:32" x14ac:dyDescent="0.2">
      <c r="B118" s="172">
        <f>+'Option inputs'!$B$18</f>
        <v>4</v>
      </c>
      <c r="C118" s="13" t="str">
        <f>+'Option inputs'!$C$18</f>
        <v>Option 3</v>
      </c>
      <c r="D118" s="164"/>
      <c r="E118" s="173" t="s">
        <v>35</v>
      </c>
      <c r="F118" s="17">
        <f>Central!F108*'Weighted 2'!$F$8+Step!F108*'Weighted 2'!$G$8+Slow!F108*'Weighted 2'!$H$8</f>
        <v>9400449.1752931345</v>
      </c>
      <c r="G118" s="16">
        <f>(Central!G108*'Weighted 2'!$F$8)+(Step!G108*'Weighted 2'!$G$8)+(Slow!G108*'Weighted 2'!$H$8)</f>
        <v>0</v>
      </c>
      <c r="H118" s="16">
        <f>(Central!H108*'Weighted 2'!$F$8)+(Step!H108*'Weighted 2'!$G$8)+(Slow!H108*'Weighted 2'!$H$8)</f>
        <v>-57382.297402262688</v>
      </c>
      <c r="I118" s="16">
        <f>(Central!I108*'Weighted 2'!$F$8)+(Step!I108*'Weighted 2'!$G$8)+(Slow!I108*'Weighted 2'!$H$8)</f>
        <v>178291.14664405584</v>
      </c>
      <c r="J118" s="16">
        <f>(Central!J108*'Weighted 2'!$F$8)+(Step!J108*'Weighted 2'!$G$8)+(Slow!J108*'Weighted 2'!$H$8)</f>
        <v>908786.49240243435</v>
      </c>
      <c r="K118" s="16">
        <f>(Central!K108*'Weighted 2'!$F$8)+(Step!K108*'Weighted 2'!$G$8)+(Slow!K108*'Weighted 2'!$H$8)</f>
        <v>1542791.9875605702</v>
      </c>
      <c r="L118" s="16">
        <f>(Central!L108*'Weighted 2'!$F$8)+(Step!L108*'Weighted 2'!$G$8)+(Slow!L108*'Weighted 2'!$H$8)</f>
        <v>1554877.7766547799</v>
      </c>
      <c r="M118" s="16">
        <f>(Central!M108*'Weighted 2'!$F$8)+(Step!M108*'Weighted 2'!$G$8)+(Slow!M108*'Weighted 2'!$H$8)</f>
        <v>1292184.4050825238</v>
      </c>
      <c r="N118" s="16">
        <f>(Central!N108*'Weighted 2'!$F$8)+(Step!N108*'Weighted 2'!$G$8)+(Slow!N108*'Weighted 2'!$H$8)</f>
        <v>1593298.9820576906</v>
      </c>
      <c r="O118" s="16">
        <f>(Central!O108*'Weighted 2'!$F$8)+(Step!O108*'Weighted 2'!$G$8)+(Slow!O108*'Weighted 2'!$H$8)</f>
        <v>1307678.5029788613</v>
      </c>
      <c r="P118" s="16">
        <f>(Central!P108*'Weighted 2'!$F$8)+(Step!P108*'Weighted 2'!$G$8)+(Slow!P108*'Weighted 2'!$H$8)</f>
        <v>1380380.8589439392</v>
      </c>
      <c r="Q118" s="16">
        <f>(Central!Q108*'Weighted 2'!$F$8)+(Step!Q108*'Weighted 2'!$G$8)+(Slow!Q108*'Weighted 2'!$H$8)</f>
        <v>1588973.61636585</v>
      </c>
      <c r="R118" s="16">
        <f>(Central!R108*'Weighted 2'!$F$8)+(Step!R108*'Weighted 2'!$G$8)+(Slow!R108*'Weighted 2'!$H$8)</f>
        <v>1666775.6950104237</v>
      </c>
      <c r="S118" s="16">
        <f>(Central!S108*'Weighted 2'!$F$8)+(Step!S108*'Weighted 2'!$G$8)+(Slow!S108*'Weighted 2'!$H$8)</f>
        <v>1295518.9604650736</v>
      </c>
      <c r="T118" s="16">
        <f>(Central!T108*'Weighted 2'!$F$8)+(Step!T108*'Weighted 2'!$G$8)+(Slow!T108*'Weighted 2'!$H$8)</f>
        <v>1009132.1684904695</v>
      </c>
      <c r="U118" s="16">
        <f>(Central!U108*'Weighted 2'!$F$8)+(Step!U108*'Weighted 2'!$G$8)+(Slow!U108*'Weighted 2'!$H$8)</f>
        <v>464190.23712694645</v>
      </c>
      <c r="V118" s="16">
        <f>(Central!V108*'Weighted 2'!$F$8)+(Step!V108*'Weighted 2'!$G$8)+(Slow!V108*'Weighted 2'!$H$8)</f>
        <v>436548.29058405757</v>
      </c>
      <c r="W118" s="16">
        <f>(Central!W108*'Weighted 2'!$F$8)+(Step!W108*'Weighted 2'!$G$8)+(Slow!W108*'Weighted 2'!$H$8)</f>
        <v>895837.71127533913</v>
      </c>
      <c r="X118" s="16">
        <f>(Central!X108*'Weighted 2'!$F$8)+(Step!X108*'Weighted 2'!$G$8)+(Slow!X108*'Weighted 2'!$H$8)</f>
        <v>-394450.16751617193</v>
      </c>
      <c r="Y118" s="16">
        <f>(Central!Y108*'Weighted 2'!$F$8)+(Step!Y108*'Weighted 2'!$G$8)+(Slow!Y108*'Weighted 2'!$H$8)</f>
        <v>-16143.248026877642</v>
      </c>
      <c r="Z118" s="16">
        <f>(Central!Z108*'Weighted 2'!$F$8)+(Step!Z108*'Weighted 2'!$G$8)+(Slow!Z108*'Weighted 2'!$H$8)</f>
        <v>-475499.69610631466</v>
      </c>
      <c r="AA118" s="16">
        <f>(Central!AA108*'Weighted 2'!$F$8)+(Step!AA108*'Weighted 2'!$G$8)+(Slow!AA108*'Weighted 2'!$H$8)</f>
        <v>-276020.35898503661</v>
      </c>
      <c r="AB118" s="16">
        <f>(Central!AB108*'Weighted 2'!$F$8)+(Step!AB108*'Weighted 2'!$G$8)+(Slow!AB108*'Weighted 2'!$H$8)</f>
        <v>257932.06098434329</v>
      </c>
      <c r="AC118" s="16">
        <f>(Central!AC108*'Weighted 2'!$F$8)+(Step!AC108*'Weighted 2'!$G$8)+(Slow!AC108*'Weighted 2'!$H$8)</f>
        <v>-217621.20525637269</v>
      </c>
      <c r="AD118" s="16">
        <f>(Central!AD108*'Weighted 2'!$F$8)+(Step!AD108*'Weighted 2'!$G$8)+(Slow!AD108*'Weighted 2'!$H$8)</f>
        <v>-1069525.6059745848</v>
      </c>
      <c r="AE118" s="16">
        <f>(Central!AE108*'Weighted 2'!$F$8)+(Step!AE108*'Weighted 2'!$G$8)+(Slow!AE108*'Weighted 2'!$H$8)</f>
        <v>242555.66688495874</v>
      </c>
      <c r="AF118" s="16">
        <f>(Central!AF108*'Weighted 2'!$F$8)+(Step!AF108*'Weighted 2'!$G$8)+(Slow!AF108*'Weighted 2'!$H$8)</f>
        <v>21797.08155824244</v>
      </c>
    </row>
    <row r="119" spans="2:32" x14ac:dyDescent="0.2">
      <c r="B119" s="172">
        <f>+'Option inputs'!$B$19</f>
        <v>5</v>
      </c>
      <c r="C119" s="13" t="str">
        <f>+'Option inputs'!$C$19</f>
        <v>Option 4</v>
      </c>
      <c r="D119" s="164"/>
      <c r="E119" s="173" t="s">
        <v>35</v>
      </c>
      <c r="F119" s="17">
        <f>Central!F109*'Weighted 2'!$F$8+Step!F109*'Weighted 2'!$G$8+Slow!F109*'Weighted 2'!$H$8</f>
        <v>0</v>
      </c>
      <c r="G119" s="16" t="e">
        <f>(Central!G109*'Weighted 2'!$F$8)+(Step!G109*'Weighted 2'!$G$8)+(Slow!G109*'Weighted 2'!$H$8)</f>
        <v>#VALUE!</v>
      </c>
      <c r="H119" s="16">
        <f>(Central!H109*'Weighted 2'!$F$8)+(Step!H109*'Weighted 2'!$G$8)+(Slow!H109*'Weighted 2'!$H$8)</f>
        <v>0</v>
      </c>
      <c r="I119" s="16">
        <f>(Central!I109*'Weighted 2'!$F$8)+(Step!I109*'Weighted 2'!$G$8)+(Slow!I109*'Weighted 2'!$H$8)</f>
        <v>0</v>
      </c>
      <c r="J119" s="16">
        <f>(Central!J109*'Weighted 2'!$F$8)+(Step!J109*'Weighted 2'!$G$8)+(Slow!J109*'Weighted 2'!$H$8)</f>
        <v>0</v>
      </c>
      <c r="K119" s="16">
        <f>(Central!K109*'Weighted 2'!$F$8)+(Step!K109*'Weighted 2'!$G$8)+(Slow!K109*'Weighted 2'!$H$8)</f>
        <v>0</v>
      </c>
      <c r="L119" s="16">
        <f>(Central!L109*'Weighted 2'!$F$8)+(Step!L109*'Weighted 2'!$G$8)+(Slow!L109*'Weighted 2'!$H$8)</f>
        <v>0</v>
      </c>
      <c r="M119" s="16">
        <f>(Central!M109*'Weighted 2'!$F$8)+(Step!M109*'Weighted 2'!$G$8)+(Slow!M109*'Weighted 2'!$H$8)</f>
        <v>0</v>
      </c>
      <c r="N119" s="16">
        <f>(Central!N109*'Weighted 2'!$F$8)+(Step!N109*'Weighted 2'!$G$8)+(Slow!N109*'Weighted 2'!$H$8)</f>
        <v>0</v>
      </c>
      <c r="O119" s="16">
        <f>(Central!O109*'Weighted 2'!$F$8)+(Step!O109*'Weighted 2'!$G$8)+(Slow!O109*'Weighted 2'!$H$8)</f>
        <v>0</v>
      </c>
      <c r="P119" s="16">
        <f>(Central!P109*'Weighted 2'!$F$8)+(Step!P109*'Weighted 2'!$G$8)+(Slow!P109*'Weighted 2'!$H$8)</f>
        <v>0</v>
      </c>
      <c r="Q119" s="16">
        <f>(Central!Q109*'Weighted 2'!$F$8)+(Step!Q109*'Weighted 2'!$G$8)+(Slow!Q109*'Weighted 2'!$H$8)</f>
        <v>0</v>
      </c>
      <c r="R119" s="16">
        <f>(Central!R109*'Weighted 2'!$F$8)+(Step!R109*'Weighted 2'!$G$8)+(Slow!R109*'Weighted 2'!$H$8)</f>
        <v>0</v>
      </c>
      <c r="S119" s="16">
        <f>(Central!S109*'Weighted 2'!$F$8)+(Step!S109*'Weighted 2'!$G$8)+(Slow!S109*'Weighted 2'!$H$8)</f>
        <v>0</v>
      </c>
      <c r="T119" s="16">
        <f>(Central!T109*'Weighted 2'!$F$8)+(Step!T109*'Weighted 2'!$G$8)+(Slow!T109*'Weighted 2'!$H$8)</f>
        <v>0</v>
      </c>
      <c r="U119" s="16">
        <f>(Central!U109*'Weighted 2'!$F$8)+(Step!U109*'Weighted 2'!$G$8)+(Slow!U109*'Weighted 2'!$H$8)</f>
        <v>0</v>
      </c>
      <c r="V119" s="16">
        <f>(Central!V109*'Weighted 2'!$F$8)+(Step!V109*'Weighted 2'!$G$8)+(Slow!V109*'Weighted 2'!$H$8)</f>
        <v>0</v>
      </c>
      <c r="W119" s="16">
        <f>(Central!W109*'Weighted 2'!$F$8)+(Step!W109*'Weighted 2'!$G$8)+(Slow!W109*'Weighted 2'!$H$8)</f>
        <v>0</v>
      </c>
      <c r="X119" s="16">
        <f>(Central!X109*'Weighted 2'!$F$8)+(Step!X109*'Weighted 2'!$G$8)+(Slow!X109*'Weighted 2'!$H$8)</f>
        <v>0</v>
      </c>
      <c r="Y119" s="16">
        <f>(Central!Y109*'Weighted 2'!$F$8)+(Step!Y109*'Weighted 2'!$G$8)+(Slow!Y109*'Weighted 2'!$H$8)</f>
        <v>0</v>
      </c>
      <c r="Z119" s="16">
        <f>(Central!Z109*'Weighted 2'!$F$8)+(Step!Z109*'Weighted 2'!$G$8)+(Slow!Z109*'Weighted 2'!$H$8)</f>
        <v>0</v>
      </c>
      <c r="AA119" s="16">
        <f>(Central!AA109*'Weighted 2'!$F$8)+(Step!AA109*'Weighted 2'!$G$8)+(Slow!AA109*'Weighted 2'!$H$8)</f>
        <v>0</v>
      </c>
      <c r="AB119" s="16">
        <f>(Central!AB109*'Weighted 2'!$F$8)+(Step!AB109*'Weighted 2'!$G$8)+(Slow!AB109*'Weighted 2'!$H$8)</f>
        <v>0</v>
      </c>
      <c r="AC119" s="16">
        <f>(Central!AC109*'Weighted 2'!$F$8)+(Step!AC109*'Weighted 2'!$G$8)+(Slow!AC109*'Weighted 2'!$H$8)</f>
        <v>0</v>
      </c>
      <c r="AD119" s="16">
        <f>(Central!AD109*'Weighted 2'!$F$8)+(Step!AD109*'Weighted 2'!$G$8)+(Slow!AD109*'Weighted 2'!$H$8)</f>
        <v>0</v>
      </c>
      <c r="AE119" s="16">
        <f>(Central!AE109*'Weighted 2'!$F$8)+(Step!AE109*'Weighted 2'!$G$8)+(Slow!AE109*'Weighted 2'!$H$8)</f>
        <v>0</v>
      </c>
      <c r="AF119" s="16">
        <f>(Central!AF109*'Weighted 2'!$F$8)+(Step!AF109*'Weighted 2'!$G$8)+(Slow!AF109*'Weighted 2'!$H$8)</f>
        <v>0</v>
      </c>
    </row>
    <row r="120" spans="2:32" x14ac:dyDescent="0.2">
      <c r="B120" s="172">
        <f>+'Option inputs'!$B$20</f>
        <v>6</v>
      </c>
      <c r="C120" s="13" t="str">
        <f>+'Option inputs'!$C$20</f>
        <v>Option 5</v>
      </c>
      <c r="D120" s="164"/>
      <c r="E120" s="173" t="s">
        <v>35</v>
      </c>
      <c r="F120" s="17">
        <f>Central!F110*'Weighted 2'!$F$8+Step!F110*'Weighted 2'!$G$8+Slow!F110*'Weighted 2'!$H$8</f>
        <v>0</v>
      </c>
      <c r="G120" s="16" t="e">
        <f>(Central!G110*'Weighted 2'!$F$8)+(Step!G110*'Weighted 2'!$G$8)+(Slow!G110*'Weighted 2'!$H$8)</f>
        <v>#VALUE!</v>
      </c>
      <c r="H120" s="16">
        <f>(Central!H110*'Weighted 2'!$F$8)+(Step!H110*'Weighted 2'!$G$8)+(Slow!H110*'Weighted 2'!$H$8)</f>
        <v>0</v>
      </c>
      <c r="I120" s="16">
        <f>(Central!I110*'Weighted 2'!$F$8)+(Step!I110*'Weighted 2'!$G$8)+(Slow!I110*'Weighted 2'!$H$8)</f>
        <v>0</v>
      </c>
      <c r="J120" s="16">
        <f>(Central!J110*'Weighted 2'!$F$8)+(Step!J110*'Weighted 2'!$G$8)+(Slow!J110*'Weighted 2'!$H$8)</f>
        <v>0</v>
      </c>
      <c r="K120" s="16">
        <f>(Central!K110*'Weighted 2'!$F$8)+(Step!K110*'Weighted 2'!$G$8)+(Slow!K110*'Weighted 2'!$H$8)</f>
        <v>0</v>
      </c>
      <c r="L120" s="16">
        <f>(Central!L110*'Weighted 2'!$F$8)+(Step!L110*'Weighted 2'!$G$8)+(Slow!L110*'Weighted 2'!$H$8)</f>
        <v>0</v>
      </c>
      <c r="M120" s="16">
        <f>(Central!M110*'Weighted 2'!$F$8)+(Step!M110*'Weighted 2'!$G$8)+(Slow!M110*'Weighted 2'!$H$8)</f>
        <v>0</v>
      </c>
      <c r="N120" s="16">
        <f>(Central!N110*'Weighted 2'!$F$8)+(Step!N110*'Weighted 2'!$G$8)+(Slow!N110*'Weighted 2'!$H$8)</f>
        <v>0</v>
      </c>
      <c r="O120" s="16">
        <f>(Central!O110*'Weighted 2'!$F$8)+(Step!O110*'Weighted 2'!$G$8)+(Slow!O110*'Weighted 2'!$H$8)</f>
        <v>0</v>
      </c>
      <c r="P120" s="16">
        <f>(Central!P110*'Weighted 2'!$F$8)+(Step!P110*'Weighted 2'!$G$8)+(Slow!P110*'Weighted 2'!$H$8)</f>
        <v>0</v>
      </c>
      <c r="Q120" s="16">
        <f>(Central!Q110*'Weighted 2'!$F$8)+(Step!Q110*'Weighted 2'!$G$8)+(Slow!Q110*'Weighted 2'!$H$8)</f>
        <v>0</v>
      </c>
      <c r="R120" s="16">
        <f>(Central!R110*'Weighted 2'!$F$8)+(Step!R110*'Weighted 2'!$G$8)+(Slow!R110*'Weighted 2'!$H$8)</f>
        <v>0</v>
      </c>
      <c r="S120" s="16">
        <f>(Central!S110*'Weighted 2'!$F$8)+(Step!S110*'Weighted 2'!$G$8)+(Slow!S110*'Weighted 2'!$H$8)</f>
        <v>0</v>
      </c>
      <c r="T120" s="16">
        <f>(Central!T110*'Weighted 2'!$F$8)+(Step!T110*'Weighted 2'!$G$8)+(Slow!T110*'Weighted 2'!$H$8)</f>
        <v>0</v>
      </c>
      <c r="U120" s="16">
        <f>(Central!U110*'Weighted 2'!$F$8)+(Step!U110*'Weighted 2'!$G$8)+(Slow!U110*'Weighted 2'!$H$8)</f>
        <v>0</v>
      </c>
      <c r="V120" s="16">
        <f>(Central!V110*'Weighted 2'!$F$8)+(Step!V110*'Weighted 2'!$G$8)+(Slow!V110*'Weighted 2'!$H$8)</f>
        <v>0</v>
      </c>
      <c r="W120" s="16">
        <f>(Central!W110*'Weighted 2'!$F$8)+(Step!W110*'Weighted 2'!$G$8)+(Slow!W110*'Weighted 2'!$H$8)</f>
        <v>0</v>
      </c>
      <c r="X120" s="16">
        <f>(Central!X110*'Weighted 2'!$F$8)+(Step!X110*'Weighted 2'!$G$8)+(Slow!X110*'Weighted 2'!$H$8)</f>
        <v>0</v>
      </c>
      <c r="Y120" s="16">
        <f>(Central!Y110*'Weighted 2'!$F$8)+(Step!Y110*'Weighted 2'!$G$8)+(Slow!Y110*'Weighted 2'!$H$8)</f>
        <v>0</v>
      </c>
      <c r="Z120" s="16">
        <f>(Central!Z110*'Weighted 2'!$F$8)+(Step!Z110*'Weighted 2'!$G$8)+(Slow!Z110*'Weighted 2'!$H$8)</f>
        <v>0</v>
      </c>
      <c r="AA120" s="16">
        <f>(Central!AA110*'Weighted 2'!$F$8)+(Step!AA110*'Weighted 2'!$G$8)+(Slow!AA110*'Weighted 2'!$H$8)</f>
        <v>0</v>
      </c>
      <c r="AB120" s="16">
        <f>(Central!AB110*'Weighted 2'!$F$8)+(Step!AB110*'Weighted 2'!$G$8)+(Slow!AB110*'Weighted 2'!$H$8)</f>
        <v>0</v>
      </c>
      <c r="AC120" s="16">
        <f>(Central!AC110*'Weighted 2'!$F$8)+(Step!AC110*'Weighted 2'!$G$8)+(Slow!AC110*'Weighted 2'!$H$8)</f>
        <v>0</v>
      </c>
      <c r="AD120" s="16">
        <f>(Central!AD110*'Weighted 2'!$F$8)+(Step!AD110*'Weighted 2'!$G$8)+(Slow!AD110*'Weighted 2'!$H$8)</f>
        <v>0</v>
      </c>
      <c r="AE120" s="16">
        <f>(Central!AE110*'Weighted 2'!$F$8)+(Step!AE110*'Weighted 2'!$G$8)+(Slow!AE110*'Weighted 2'!$H$8)</f>
        <v>0</v>
      </c>
      <c r="AF120" s="16">
        <f>(Central!AF110*'Weighted 2'!$F$8)+(Step!AF110*'Weighted 2'!$G$8)+(Slow!AF110*'Weighted 2'!$H$8)</f>
        <v>0</v>
      </c>
    </row>
    <row r="121" spans="2:32" x14ac:dyDescent="0.2">
      <c r="B121" s="172" t="e">
        <f>+'Option inputs'!#REF!</f>
        <v>#REF!</v>
      </c>
      <c r="C121" s="13" t="e">
        <f>+'Option inputs'!#REF!</f>
        <v>#REF!</v>
      </c>
      <c r="D121" s="164"/>
      <c r="E121" s="173" t="s">
        <v>35</v>
      </c>
      <c r="F121" s="17" t="e">
        <f>Central!#REF!*'Weighted 2'!$F$8+Step!#REF!*'Weighted 2'!$G$8+Slow!#REF!*'Weighted 2'!$H$8</f>
        <v>#REF!</v>
      </c>
      <c r="G121" s="16" t="e">
        <f>(Central!#REF!*'Weighted 2'!$F$8)+(Step!#REF!*'Weighted 2'!$G$8)+(Slow!#REF!*'Weighted 2'!$H$8)</f>
        <v>#REF!</v>
      </c>
      <c r="H121" s="16" t="e">
        <f>(Central!#REF!*'Weighted 2'!$F$8)+(Step!#REF!*'Weighted 2'!$G$8)+(Slow!#REF!*'Weighted 2'!$H$8)</f>
        <v>#REF!</v>
      </c>
      <c r="I121" s="16" t="e">
        <f>(Central!#REF!*'Weighted 2'!$F$8)+(Step!#REF!*'Weighted 2'!$G$8)+(Slow!#REF!*'Weighted 2'!$H$8)</f>
        <v>#REF!</v>
      </c>
      <c r="J121" s="16" t="e">
        <f>(Central!#REF!*'Weighted 2'!$F$8)+(Step!#REF!*'Weighted 2'!$G$8)+(Slow!#REF!*'Weighted 2'!$H$8)</f>
        <v>#REF!</v>
      </c>
      <c r="K121" s="16" t="e">
        <f>(Central!#REF!*'Weighted 2'!$F$8)+(Step!#REF!*'Weighted 2'!$G$8)+(Slow!#REF!*'Weighted 2'!$H$8)</f>
        <v>#REF!</v>
      </c>
      <c r="L121" s="16" t="e">
        <f>(Central!#REF!*'Weighted 2'!$F$8)+(Step!#REF!*'Weighted 2'!$G$8)+(Slow!#REF!*'Weighted 2'!$H$8)</f>
        <v>#REF!</v>
      </c>
      <c r="M121" s="16" t="e">
        <f>(Central!#REF!*'Weighted 2'!$F$8)+(Step!#REF!*'Weighted 2'!$G$8)+(Slow!#REF!*'Weighted 2'!$H$8)</f>
        <v>#REF!</v>
      </c>
      <c r="N121" s="16" t="e">
        <f>(Central!#REF!*'Weighted 2'!$F$8)+(Step!#REF!*'Weighted 2'!$G$8)+(Slow!#REF!*'Weighted 2'!$H$8)</f>
        <v>#REF!</v>
      </c>
      <c r="O121" s="16" t="e">
        <f>(Central!#REF!*'Weighted 2'!$F$8)+(Step!#REF!*'Weighted 2'!$G$8)+(Slow!#REF!*'Weighted 2'!$H$8)</f>
        <v>#REF!</v>
      </c>
      <c r="P121" s="16" t="e">
        <f>(Central!#REF!*'Weighted 2'!$F$8)+(Step!#REF!*'Weighted 2'!$G$8)+(Slow!#REF!*'Weighted 2'!$H$8)</f>
        <v>#REF!</v>
      </c>
      <c r="Q121" s="16" t="e">
        <f>(Central!#REF!*'Weighted 2'!$F$8)+(Step!#REF!*'Weighted 2'!$G$8)+(Slow!#REF!*'Weighted 2'!$H$8)</f>
        <v>#REF!</v>
      </c>
      <c r="R121" s="16" t="e">
        <f>(Central!#REF!*'Weighted 2'!$F$8)+(Step!#REF!*'Weighted 2'!$G$8)+(Slow!#REF!*'Weighted 2'!$H$8)</f>
        <v>#REF!</v>
      </c>
      <c r="S121" s="16" t="e">
        <f>(Central!#REF!*'Weighted 2'!$F$8)+(Step!#REF!*'Weighted 2'!$G$8)+(Slow!#REF!*'Weighted 2'!$H$8)</f>
        <v>#REF!</v>
      </c>
      <c r="T121" s="16" t="e">
        <f>(Central!#REF!*'Weighted 2'!$F$8)+(Step!#REF!*'Weighted 2'!$G$8)+(Slow!#REF!*'Weighted 2'!$H$8)</f>
        <v>#REF!</v>
      </c>
      <c r="U121" s="16" t="e">
        <f>(Central!#REF!*'Weighted 2'!$F$8)+(Step!#REF!*'Weighted 2'!$G$8)+(Slow!#REF!*'Weighted 2'!$H$8)</f>
        <v>#REF!</v>
      </c>
      <c r="V121" s="16" t="e">
        <f>(Central!#REF!*'Weighted 2'!$F$8)+(Step!#REF!*'Weighted 2'!$G$8)+(Slow!#REF!*'Weighted 2'!$H$8)</f>
        <v>#REF!</v>
      </c>
      <c r="W121" s="16" t="e">
        <f>(Central!#REF!*'Weighted 2'!$F$8)+(Step!#REF!*'Weighted 2'!$G$8)+(Slow!#REF!*'Weighted 2'!$H$8)</f>
        <v>#REF!</v>
      </c>
      <c r="X121" s="16" t="e">
        <f>(Central!#REF!*'Weighted 2'!$F$8)+(Step!#REF!*'Weighted 2'!$G$8)+(Slow!#REF!*'Weighted 2'!$H$8)</f>
        <v>#REF!</v>
      </c>
      <c r="Y121" s="16" t="e">
        <f>(Central!#REF!*'Weighted 2'!$F$8)+(Step!#REF!*'Weighted 2'!$G$8)+(Slow!#REF!*'Weighted 2'!$H$8)</f>
        <v>#REF!</v>
      </c>
      <c r="Z121" s="16" t="e">
        <f>(Central!#REF!*'Weighted 2'!$F$8)+(Step!#REF!*'Weighted 2'!$G$8)+(Slow!#REF!*'Weighted 2'!$H$8)</f>
        <v>#REF!</v>
      </c>
      <c r="AA121" s="16" t="e">
        <f>(Central!#REF!*'Weighted 2'!$F$8)+(Step!#REF!*'Weighted 2'!$G$8)+(Slow!#REF!*'Weighted 2'!$H$8)</f>
        <v>#REF!</v>
      </c>
      <c r="AB121" s="16" t="e">
        <f>(Central!#REF!*'Weighted 2'!$F$8)+(Step!#REF!*'Weighted 2'!$G$8)+(Slow!#REF!*'Weighted 2'!$H$8)</f>
        <v>#REF!</v>
      </c>
      <c r="AC121" s="16" t="e">
        <f>(Central!#REF!*'Weighted 2'!$F$8)+(Step!#REF!*'Weighted 2'!$G$8)+(Slow!#REF!*'Weighted 2'!$H$8)</f>
        <v>#REF!</v>
      </c>
      <c r="AD121" s="16" t="e">
        <f>(Central!#REF!*'Weighted 2'!$F$8)+(Step!#REF!*'Weighted 2'!$G$8)+(Slow!#REF!*'Weighted 2'!$H$8)</f>
        <v>#REF!</v>
      </c>
      <c r="AE121" s="16" t="e">
        <f>(Central!#REF!*'Weighted 2'!$F$8)+(Step!#REF!*'Weighted 2'!$G$8)+(Slow!#REF!*'Weighted 2'!$H$8)</f>
        <v>#REF!</v>
      </c>
      <c r="AF121" s="16" t="e">
        <f>(Central!#REF!*'Weighted 2'!$F$8)+(Step!#REF!*'Weighted 2'!$G$8)+(Slow!#REF!*'Weighted 2'!$H$8)</f>
        <v>#REF!</v>
      </c>
    </row>
    <row r="122" spans="2:32" x14ac:dyDescent="0.2">
      <c r="B122" s="172" t="e">
        <f>+'Option inputs'!#REF!</f>
        <v>#REF!</v>
      </c>
      <c r="C122" s="13" t="e">
        <f>+'Option inputs'!#REF!</f>
        <v>#REF!</v>
      </c>
      <c r="D122" s="164"/>
      <c r="E122" s="173" t="s">
        <v>35</v>
      </c>
      <c r="F122" s="17" t="e">
        <f>Central!#REF!*'Weighted 2'!$F$8+Step!#REF!*'Weighted 2'!$G$8+Slow!#REF!*'Weighted 2'!$H$8</f>
        <v>#REF!</v>
      </c>
      <c r="G122" s="16" t="e">
        <f>(Central!#REF!*'Weighted 2'!$F$8)+(Step!#REF!*'Weighted 2'!$G$8)+(Slow!#REF!*'Weighted 2'!$H$8)</f>
        <v>#REF!</v>
      </c>
      <c r="H122" s="16" t="e">
        <f>(Central!#REF!*'Weighted 2'!$F$8)+(Step!#REF!*'Weighted 2'!$G$8)+(Slow!#REF!*'Weighted 2'!$H$8)</f>
        <v>#REF!</v>
      </c>
      <c r="I122" s="16" t="e">
        <f>(Central!#REF!*'Weighted 2'!$F$8)+(Step!#REF!*'Weighted 2'!$G$8)+(Slow!#REF!*'Weighted 2'!$H$8)</f>
        <v>#REF!</v>
      </c>
      <c r="J122" s="16" t="e">
        <f>(Central!#REF!*'Weighted 2'!$F$8)+(Step!#REF!*'Weighted 2'!$G$8)+(Slow!#REF!*'Weighted 2'!$H$8)</f>
        <v>#REF!</v>
      </c>
      <c r="K122" s="16" t="e">
        <f>(Central!#REF!*'Weighted 2'!$F$8)+(Step!#REF!*'Weighted 2'!$G$8)+(Slow!#REF!*'Weighted 2'!$H$8)</f>
        <v>#REF!</v>
      </c>
      <c r="L122" s="16" t="e">
        <f>(Central!#REF!*'Weighted 2'!$F$8)+(Step!#REF!*'Weighted 2'!$G$8)+(Slow!#REF!*'Weighted 2'!$H$8)</f>
        <v>#REF!</v>
      </c>
      <c r="M122" s="16" t="e">
        <f>(Central!#REF!*'Weighted 2'!$F$8)+(Step!#REF!*'Weighted 2'!$G$8)+(Slow!#REF!*'Weighted 2'!$H$8)</f>
        <v>#REF!</v>
      </c>
      <c r="N122" s="16" t="e">
        <f>(Central!#REF!*'Weighted 2'!$F$8)+(Step!#REF!*'Weighted 2'!$G$8)+(Slow!#REF!*'Weighted 2'!$H$8)</f>
        <v>#REF!</v>
      </c>
      <c r="O122" s="16" t="e">
        <f>(Central!#REF!*'Weighted 2'!$F$8)+(Step!#REF!*'Weighted 2'!$G$8)+(Slow!#REF!*'Weighted 2'!$H$8)</f>
        <v>#REF!</v>
      </c>
      <c r="P122" s="16" t="e">
        <f>(Central!#REF!*'Weighted 2'!$F$8)+(Step!#REF!*'Weighted 2'!$G$8)+(Slow!#REF!*'Weighted 2'!$H$8)</f>
        <v>#REF!</v>
      </c>
      <c r="Q122" s="16" t="e">
        <f>(Central!#REF!*'Weighted 2'!$F$8)+(Step!#REF!*'Weighted 2'!$G$8)+(Slow!#REF!*'Weighted 2'!$H$8)</f>
        <v>#REF!</v>
      </c>
      <c r="R122" s="16" t="e">
        <f>(Central!#REF!*'Weighted 2'!$F$8)+(Step!#REF!*'Weighted 2'!$G$8)+(Slow!#REF!*'Weighted 2'!$H$8)</f>
        <v>#REF!</v>
      </c>
      <c r="S122" s="16" t="e">
        <f>(Central!#REF!*'Weighted 2'!$F$8)+(Step!#REF!*'Weighted 2'!$G$8)+(Slow!#REF!*'Weighted 2'!$H$8)</f>
        <v>#REF!</v>
      </c>
      <c r="T122" s="16" t="e">
        <f>(Central!#REF!*'Weighted 2'!$F$8)+(Step!#REF!*'Weighted 2'!$G$8)+(Slow!#REF!*'Weighted 2'!$H$8)</f>
        <v>#REF!</v>
      </c>
      <c r="U122" s="16" t="e">
        <f>(Central!#REF!*'Weighted 2'!$F$8)+(Step!#REF!*'Weighted 2'!$G$8)+(Slow!#REF!*'Weighted 2'!$H$8)</f>
        <v>#REF!</v>
      </c>
      <c r="V122" s="16" t="e">
        <f>(Central!#REF!*'Weighted 2'!$F$8)+(Step!#REF!*'Weighted 2'!$G$8)+(Slow!#REF!*'Weighted 2'!$H$8)</f>
        <v>#REF!</v>
      </c>
      <c r="W122" s="16" t="e">
        <f>(Central!#REF!*'Weighted 2'!$F$8)+(Step!#REF!*'Weighted 2'!$G$8)+(Slow!#REF!*'Weighted 2'!$H$8)</f>
        <v>#REF!</v>
      </c>
      <c r="X122" s="16" t="e">
        <f>(Central!#REF!*'Weighted 2'!$F$8)+(Step!#REF!*'Weighted 2'!$G$8)+(Slow!#REF!*'Weighted 2'!$H$8)</f>
        <v>#REF!</v>
      </c>
      <c r="Y122" s="16" t="e">
        <f>(Central!#REF!*'Weighted 2'!$F$8)+(Step!#REF!*'Weighted 2'!$G$8)+(Slow!#REF!*'Weighted 2'!$H$8)</f>
        <v>#REF!</v>
      </c>
      <c r="Z122" s="16" t="e">
        <f>(Central!#REF!*'Weighted 2'!$F$8)+(Step!#REF!*'Weighted 2'!$G$8)+(Slow!#REF!*'Weighted 2'!$H$8)</f>
        <v>#REF!</v>
      </c>
      <c r="AA122" s="16" t="e">
        <f>(Central!#REF!*'Weighted 2'!$F$8)+(Step!#REF!*'Weighted 2'!$G$8)+(Slow!#REF!*'Weighted 2'!$H$8)</f>
        <v>#REF!</v>
      </c>
      <c r="AB122" s="16" t="e">
        <f>(Central!#REF!*'Weighted 2'!$F$8)+(Step!#REF!*'Weighted 2'!$G$8)+(Slow!#REF!*'Weighted 2'!$H$8)</f>
        <v>#REF!</v>
      </c>
      <c r="AC122" s="16" t="e">
        <f>(Central!#REF!*'Weighted 2'!$F$8)+(Step!#REF!*'Weighted 2'!$G$8)+(Slow!#REF!*'Weighted 2'!$H$8)</f>
        <v>#REF!</v>
      </c>
      <c r="AD122" s="16" t="e">
        <f>(Central!#REF!*'Weighted 2'!$F$8)+(Step!#REF!*'Weighted 2'!$G$8)+(Slow!#REF!*'Weighted 2'!$H$8)</f>
        <v>#REF!</v>
      </c>
      <c r="AE122" s="16" t="e">
        <f>(Central!#REF!*'Weighted 2'!$F$8)+(Step!#REF!*'Weighted 2'!$G$8)+(Slow!#REF!*'Weighted 2'!$H$8)</f>
        <v>#REF!</v>
      </c>
      <c r="AF122" s="16" t="e">
        <f>(Central!#REF!*'Weighted 2'!$F$8)+(Step!#REF!*'Weighted 2'!$G$8)+(Slow!#REF!*'Weighted 2'!$H$8)</f>
        <v>#REF!</v>
      </c>
    </row>
    <row r="123" spans="2:32" x14ac:dyDescent="0.2">
      <c r="B123" s="172" t="e">
        <f>+'Option inputs'!#REF!</f>
        <v>#REF!</v>
      </c>
      <c r="C123" s="13" t="e">
        <f>+'Option inputs'!#REF!</f>
        <v>#REF!</v>
      </c>
      <c r="D123" s="164"/>
      <c r="E123" s="173" t="s">
        <v>35</v>
      </c>
      <c r="F123" s="17" t="e">
        <f>Central!#REF!*'Weighted 2'!$F$8+Step!#REF!*'Weighted 2'!$G$8+Slow!#REF!*'Weighted 2'!$H$8</f>
        <v>#REF!</v>
      </c>
      <c r="G123" s="16" t="e">
        <f>(Central!#REF!*'Weighted 2'!$F$8)+(Step!#REF!*'Weighted 2'!$G$8)+(Slow!#REF!*'Weighted 2'!$H$8)</f>
        <v>#REF!</v>
      </c>
      <c r="H123" s="16" t="e">
        <f>(Central!#REF!*'Weighted 2'!$F$8)+(Step!#REF!*'Weighted 2'!$G$8)+(Slow!#REF!*'Weighted 2'!$H$8)</f>
        <v>#REF!</v>
      </c>
      <c r="I123" s="16" t="e">
        <f>(Central!#REF!*'Weighted 2'!$F$8)+(Step!#REF!*'Weighted 2'!$G$8)+(Slow!#REF!*'Weighted 2'!$H$8)</f>
        <v>#REF!</v>
      </c>
      <c r="J123" s="16" t="e">
        <f>(Central!#REF!*'Weighted 2'!$F$8)+(Step!#REF!*'Weighted 2'!$G$8)+(Slow!#REF!*'Weighted 2'!$H$8)</f>
        <v>#REF!</v>
      </c>
      <c r="K123" s="16" t="e">
        <f>(Central!#REF!*'Weighted 2'!$F$8)+(Step!#REF!*'Weighted 2'!$G$8)+(Slow!#REF!*'Weighted 2'!$H$8)</f>
        <v>#REF!</v>
      </c>
      <c r="L123" s="16" t="e">
        <f>(Central!#REF!*'Weighted 2'!$F$8)+(Step!#REF!*'Weighted 2'!$G$8)+(Slow!#REF!*'Weighted 2'!$H$8)</f>
        <v>#REF!</v>
      </c>
      <c r="M123" s="16" t="e">
        <f>(Central!#REF!*'Weighted 2'!$F$8)+(Step!#REF!*'Weighted 2'!$G$8)+(Slow!#REF!*'Weighted 2'!$H$8)</f>
        <v>#REF!</v>
      </c>
      <c r="N123" s="16" t="e">
        <f>(Central!#REF!*'Weighted 2'!$F$8)+(Step!#REF!*'Weighted 2'!$G$8)+(Slow!#REF!*'Weighted 2'!$H$8)</f>
        <v>#REF!</v>
      </c>
      <c r="O123" s="16" t="e">
        <f>(Central!#REF!*'Weighted 2'!$F$8)+(Step!#REF!*'Weighted 2'!$G$8)+(Slow!#REF!*'Weighted 2'!$H$8)</f>
        <v>#REF!</v>
      </c>
      <c r="P123" s="16" t="e">
        <f>(Central!#REF!*'Weighted 2'!$F$8)+(Step!#REF!*'Weighted 2'!$G$8)+(Slow!#REF!*'Weighted 2'!$H$8)</f>
        <v>#REF!</v>
      </c>
      <c r="Q123" s="16" t="e">
        <f>(Central!#REF!*'Weighted 2'!$F$8)+(Step!#REF!*'Weighted 2'!$G$8)+(Slow!#REF!*'Weighted 2'!$H$8)</f>
        <v>#REF!</v>
      </c>
      <c r="R123" s="16" t="e">
        <f>(Central!#REF!*'Weighted 2'!$F$8)+(Step!#REF!*'Weighted 2'!$G$8)+(Slow!#REF!*'Weighted 2'!$H$8)</f>
        <v>#REF!</v>
      </c>
      <c r="S123" s="16" t="e">
        <f>(Central!#REF!*'Weighted 2'!$F$8)+(Step!#REF!*'Weighted 2'!$G$8)+(Slow!#REF!*'Weighted 2'!$H$8)</f>
        <v>#REF!</v>
      </c>
      <c r="T123" s="16" t="e">
        <f>(Central!#REF!*'Weighted 2'!$F$8)+(Step!#REF!*'Weighted 2'!$G$8)+(Slow!#REF!*'Weighted 2'!$H$8)</f>
        <v>#REF!</v>
      </c>
      <c r="U123" s="16" t="e">
        <f>(Central!#REF!*'Weighted 2'!$F$8)+(Step!#REF!*'Weighted 2'!$G$8)+(Slow!#REF!*'Weighted 2'!$H$8)</f>
        <v>#REF!</v>
      </c>
      <c r="V123" s="16" t="e">
        <f>(Central!#REF!*'Weighted 2'!$F$8)+(Step!#REF!*'Weighted 2'!$G$8)+(Slow!#REF!*'Weighted 2'!$H$8)</f>
        <v>#REF!</v>
      </c>
      <c r="W123" s="16" t="e">
        <f>(Central!#REF!*'Weighted 2'!$F$8)+(Step!#REF!*'Weighted 2'!$G$8)+(Slow!#REF!*'Weighted 2'!$H$8)</f>
        <v>#REF!</v>
      </c>
      <c r="X123" s="16" t="e">
        <f>(Central!#REF!*'Weighted 2'!$F$8)+(Step!#REF!*'Weighted 2'!$G$8)+(Slow!#REF!*'Weighted 2'!$H$8)</f>
        <v>#REF!</v>
      </c>
      <c r="Y123" s="16" t="e">
        <f>(Central!#REF!*'Weighted 2'!$F$8)+(Step!#REF!*'Weighted 2'!$G$8)+(Slow!#REF!*'Weighted 2'!$H$8)</f>
        <v>#REF!</v>
      </c>
      <c r="Z123" s="16" t="e">
        <f>(Central!#REF!*'Weighted 2'!$F$8)+(Step!#REF!*'Weighted 2'!$G$8)+(Slow!#REF!*'Weighted 2'!$H$8)</f>
        <v>#REF!</v>
      </c>
      <c r="AA123" s="16" t="e">
        <f>(Central!#REF!*'Weighted 2'!$F$8)+(Step!#REF!*'Weighted 2'!$G$8)+(Slow!#REF!*'Weighted 2'!$H$8)</f>
        <v>#REF!</v>
      </c>
      <c r="AB123" s="16" t="e">
        <f>(Central!#REF!*'Weighted 2'!$F$8)+(Step!#REF!*'Weighted 2'!$G$8)+(Slow!#REF!*'Weighted 2'!$H$8)</f>
        <v>#REF!</v>
      </c>
      <c r="AC123" s="16" t="e">
        <f>(Central!#REF!*'Weighted 2'!$F$8)+(Step!#REF!*'Weighted 2'!$G$8)+(Slow!#REF!*'Weighted 2'!$H$8)</f>
        <v>#REF!</v>
      </c>
      <c r="AD123" s="16" t="e">
        <f>(Central!#REF!*'Weighted 2'!$F$8)+(Step!#REF!*'Weighted 2'!$G$8)+(Slow!#REF!*'Weighted 2'!$H$8)</f>
        <v>#REF!</v>
      </c>
      <c r="AE123" s="16" t="e">
        <f>(Central!#REF!*'Weighted 2'!$F$8)+(Step!#REF!*'Weighted 2'!$G$8)+(Slow!#REF!*'Weighted 2'!$H$8)</f>
        <v>#REF!</v>
      </c>
      <c r="AF123" s="16" t="e">
        <f>(Central!#REF!*'Weighted 2'!$F$8)+(Step!#REF!*'Weighted 2'!$G$8)+(Slow!#REF!*'Weighted 2'!$H$8)</f>
        <v>#REF!</v>
      </c>
    </row>
    <row r="124" spans="2:32" x14ac:dyDescent="0.2">
      <c r="B124" s="172" t="e">
        <f>+'Option inputs'!#REF!</f>
        <v>#REF!</v>
      </c>
      <c r="C124" s="13" t="e">
        <f>+'Option inputs'!#REF!</f>
        <v>#REF!</v>
      </c>
      <c r="D124" s="164"/>
      <c r="E124" s="173" t="s">
        <v>35</v>
      </c>
      <c r="F124" s="17" t="e">
        <f>Central!#REF!*'Weighted 2'!$F$8+Step!#REF!*'Weighted 2'!$G$8+Slow!#REF!*'Weighted 2'!$H$8</f>
        <v>#REF!</v>
      </c>
      <c r="G124" s="16" t="e">
        <f>(Central!#REF!*'Weighted 2'!$F$8)+(Step!#REF!*'Weighted 2'!$G$8)+(Slow!#REF!*'Weighted 2'!$H$8)</f>
        <v>#REF!</v>
      </c>
      <c r="H124" s="16" t="e">
        <f>(Central!#REF!*'Weighted 2'!$F$8)+(Step!#REF!*'Weighted 2'!$G$8)+(Slow!#REF!*'Weighted 2'!$H$8)</f>
        <v>#REF!</v>
      </c>
      <c r="I124" s="16" t="e">
        <f>(Central!#REF!*'Weighted 2'!$F$8)+(Step!#REF!*'Weighted 2'!$G$8)+(Slow!#REF!*'Weighted 2'!$H$8)</f>
        <v>#REF!</v>
      </c>
      <c r="J124" s="16" t="e">
        <f>(Central!#REF!*'Weighted 2'!$F$8)+(Step!#REF!*'Weighted 2'!$G$8)+(Slow!#REF!*'Weighted 2'!$H$8)</f>
        <v>#REF!</v>
      </c>
      <c r="K124" s="16" t="e">
        <f>(Central!#REF!*'Weighted 2'!$F$8)+(Step!#REF!*'Weighted 2'!$G$8)+(Slow!#REF!*'Weighted 2'!$H$8)</f>
        <v>#REF!</v>
      </c>
      <c r="L124" s="16" t="e">
        <f>(Central!#REF!*'Weighted 2'!$F$8)+(Step!#REF!*'Weighted 2'!$G$8)+(Slow!#REF!*'Weighted 2'!$H$8)</f>
        <v>#REF!</v>
      </c>
      <c r="M124" s="16" t="e">
        <f>(Central!#REF!*'Weighted 2'!$F$8)+(Step!#REF!*'Weighted 2'!$G$8)+(Slow!#REF!*'Weighted 2'!$H$8)</f>
        <v>#REF!</v>
      </c>
      <c r="N124" s="16" t="e">
        <f>(Central!#REF!*'Weighted 2'!$F$8)+(Step!#REF!*'Weighted 2'!$G$8)+(Slow!#REF!*'Weighted 2'!$H$8)</f>
        <v>#REF!</v>
      </c>
      <c r="O124" s="16" t="e">
        <f>(Central!#REF!*'Weighted 2'!$F$8)+(Step!#REF!*'Weighted 2'!$G$8)+(Slow!#REF!*'Weighted 2'!$H$8)</f>
        <v>#REF!</v>
      </c>
      <c r="P124" s="16" t="e">
        <f>(Central!#REF!*'Weighted 2'!$F$8)+(Step!#REF!*'Weighted 2'!$G$8)+(Slow!#REF!*'Weighted 2'!$H$8)</f>
        <v>#REF!</v>
      </c>
      <c r="Q124" s="16" t="e">
        <f>(Central!#REF!*'Weighted 2'!$F$8)+(Step!#REF!*'Weighted 2'!$G$8)+(Slow!#REF!*'Weighted 2'!$H$8)</f>
        <v>#REF!</v>
      </c>
      <c r="R124" s="16" t="e">
        <f>(Central!#REF!*'Weighted 2'!$F$8)+(Step!#REF!*'Weighted 2'!$G$8)+(Slow!#REF!*'Weighted 2'!$H$8)</f>
        <v>#REF!</v>
      </c>
      <c r="S124" s="16" t="e">
        <f>(Central!#REF!*'Weighted 2'!$F$8)+(Step!#REF!*'Weighted 2'!$G$8)+(Slow!#REF!*'Weighted 2'!$H$8)</f>
        <v>#REF!</v>
      </c>
      <c r="T124" s="16" t="e">
        <f>(Central!#REF!*'Weighted 2'!$F$8)+(Step!#REF!*'Weighted 2'!$G$8)+(Slow!#REF!*'Weighted 2'!$H$8)</f>
        <v>#REF!</v>
      </c>
      <c r="U124" s="16" t="e">
        <f>(Central!#REF!*'Weighted 2'!$F$8)+(Step!#REF!*'Weighted 2'!$G$8)+(Slow!#REF!*'Weighted 2'!$H$8)</f>
        <v>#REF!</v>
      </c>
      <c r="V124" s="16" t="e">
        <f>(Central!#REF!*'Weighted 2'!$F$8)+(Step!#REF!*'Weighted 2'!$G$8)+(Slow!#REF!*'Weighted 2'!$H$8)</f>
        <v>#REF!</v>
      </c>
      <c r="W124" s="16" t="e">
        <f>(Central!#REF!*'Weighted 2'!$F$8)+(Step!#REF!*'Weighted 2'!$G$8)+(Slow!#REF!*'Weighted 2'!$H$8)</f>
        <v>#REF!</v>
      </c>
      <c r="X124" s="16" t="e">
        <f>(Central!#REF!*'Weighted 2'!$F$8)+(Step!#REF!*'Weighted 2'!$G$8)+(Slow!#REF!*'Weighted 2'!$H$8)</f>
        <v>#REF!</v>
      </c>
      <c r="Y124" s="16" t="e">
        <f>(Central!#REF!*'Weighted 2'!$F$8)+(Step!#REF!*'Weighted 2'!$G$8)+(Slow!#REF!*'Weighted 2'!$H$8)</f>
        <v>#REF!</v>
      </c>
      <c r="Z124" s="16" t="e">
        <f>(Central!#REF!*'Weighted 2'!$F$8)+(Step!#REF!*'Weighted 2'!$G$8)+(Slow!#REF!*'Weighted 2'!$H$8)</f>
        <v>#REF!</v>
      </c>
      <c r="AA124" s="16" t="e">
        <f>(Central!#REF!*'Weighted 2'!$F$8)+(Step!#REF!*'Weighted 2'!$G$8)+(Slow!#REF!*'Weighted 2'!$H$8)</f>
        <v>#REF!</v>
      </c>
      <c r="AB124" s="16" t="e">
        <f>(Central!#REF!*'Weighted 2'!$F$8)+(Step!#REF!*'Weighted 2'!$G$8)+(Slow!#REF!*'Weighted 2'!$H$8)</f>
        <v>#REF!</v>
      </c>
      <c r="AC124" s="16" t="e">
        <f>(Central!#REF!*'Weighted 2'!$F$8)+(Step!#REF!*'Weighted 2'!$G$8)+(Slow!#REF!*'Weighted 2'!$H$8)</f>
        <v>#REF!</v>
      </c>
      <c r="AD124" s="16" t="e">
        <f>(Central!#REF!*'Weighted 2'!$F$8)+(Step!#REF!*'Weighted 2'!$G$8)+(Slow!#REF!*'Weighted 2'!$H$8)</f>
        <v>#REF!</v>
      </c>
      <c r="AE124" s="16" t="e">
        <f>(Central!#REF!*'Weighted 2'!$F$8)+(Step!#REF!*'Weighted 2'!$G$8)+(Slow!#REF!*'Weighted 2'!$H$8)</f>
        <v>#REF!</v>
      </c>
      <c r="AF124" s="16" t="e">
        <f>(Central!#REF!*'Weighted 2'!$F$8)+(Step!#REF!*'Weighted 2'!$G$8)+(Slow!#REF!*'Weighted 2'!$H$8)</f>
        <v>#REF!</v>
      </c>
    </row>
    <row r="125" spans="2:32" x14ac:dyDescent="0.2">
      <c r="B125" s="161"/>
      <c r="C125" s="165"/>
      <c r="D125" s="165"/>
      <c r="E125" s="161"/>
      <c r="F125" s="126"/>
    </row>
    <row r="126" spans="2:32" ht="15.75" x14ac:dyDescent="0.25">
      <c r="B126" s="166" t="str">
        <f>+'CBA Inputs'!B263</f>
        <v xml:space="preserve">Voluntary load curtailment </v>
      </c>
      <c r="C126" s="167"/>
      <c r="D126" s="167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</row>
    <row r="127" spans="2:32" ht="15.75" x14ac:dyDescent="0.25">
      <c r="B127" s="168" t="s">
        <v>14</v>
      </c>
      <c r="C127" s="169" t="s">
        <v>13</v>
      </c>
      <c r="D127" s="169"/>
      <c r="E127" s="170" t="s">
        <v>22</v>
      </c>
      <c r="F127" s="170" t="s">
        <v>37</v>
      </c>
      <c r="G127" s="171" t="str">
        <f>G$55</f>
        <v>FY 2020-21</v>
      </c>
      <c r="H127" s="171" t="str">
        <f t="shared" ref="H127:AF127" si="21">H$55</f>
        <v>FY 2021-22</v>
      </c>
      <c r="I127" s="171" t="str">
        <f t="shared" si="21"/>
        <v>FY 2022-23</v>
      </c>
      <c r="J127" s="171" t="str">
        <f t="shared" si="21"/>
        <v>FY 2023-24</v>
      </c>
      <c r="K127" s="171" t="str">
        <f t="shared" si="21"/>
        <v>FY 2024-25</v>
      </c>
      <c r="L127" s="171" t="str">
        <f t="shared" si="21"/>
        <v>FY 2025-26</v>
      </c>
      <c r="M127" s="171" t="str">
        <f t="shared" si="21"/>
        <v>FY 2026-27</v>
      </c>
      <c r="N127" s="171" t="str">
        <f t="shared" si="21"/>
        <v>FY 2027-28</v>
      </c>
      <c r="O127" s="171" t="str">
        <f t="shared" si="21"/>
        <v>FY 2028-29</v>
      </c>
      <c r="P127" s="171" t="str">
        <f t="shared" si="21"/>
        <v>FY 2029-30</v>
      </c>
      <c r="Q127" s="171" t="str">
        <f t="shared" si="21"/>
        <v>FY 2030-31</v>
      </c>
      <c r="R127" s="171" t="str">
        <f t="shared" si="21"/>
        <v>FY 2031-32</v>
      </c>
      <c r="S127" s="171" t="str">
        <f t="shared" si="21"/>
        <v>FY 2032-33</v>
      </c>
      <c r="T127" s="171" t="str">
        <f t="shared" si="21"/>
        <v>FY 2033-34</v>
      </c>
      <c r="U127" s="171" t="str">
        <f t="shared" si="21"/>
        <v>FY 2034-35</v>
      </c>
      <c r="V127" s="171" t="str">
        <f t="shared" si="21"/>
        <v>FY 2035-36</v>
      </c>
      <c r="W127" s="171" t="str">
        <f t="shared" si="21"/>
        <v>FY 2036-37</v>
      </c>
      <c r="X127" s="171" t="str">
        <f t="shared" si="21"/>
        <v>FY 2037-38</v>
      </c>
      <c r="Y127" s="171" t="str">
        <f t="shared" si="21"/>
        <v>FY 2038-39</v>
      </c>
      <c r="Z127" s="171" t="str">
        <f t="shared" si="21"/>
        <v>FY 2039-40</v>
      </c>
      <c r="AA127" s="171" t="str">
        <f t="shared" si="21"/>
        <v>FY 2040-41</v>
      </c>
      <c r="AB127" s="171" t="str">
        <f t="shared" si="21"/>
        <v>FY 2041-42</v>
      </c>
      <c r="AC127" s="171" t="str">
        <f t="shared" si="21"/>
        <v>FY 2042-43</v>
      </c>
      <c r="AD127" s="171" t="str">
        <f t="shared" si="21"/>
        <v>FY 2043-44</v>
      </c>
      <c r="AE127" s="171" t="str">
        <f t="shared" si="21"/>
        <v>FY 2044-45</v>
      </c>
      <c r="AF127" s="171" t="str">
        <f t="shared" si="21"/>
        <v>FY 2045-46</v>
      </c>
    </row>
    <row r="128" spans="2:32" x14ac:dyDescent="0.2">
      <c r="B128" s="172">
        <f>+'Option inputs'!$B$15</f>
        <v>1</v>
      </c>
      <c r="C128" s="13" t="str">
        <f>+'Option inputs'!$C$15</f>
        <v>Option 1A</v>
      </c>
      <c r="D128" s="164"/>
      <c r="E128" s="173" t="s">
        <v>35</v>
      </c>
      <c r="F128" s="17">
        <f>Central!F114*'Weighted 2'!$F$8+Step!F114*'Weighted 2'!$G$8+Slow!F114*'Weighted 2'!$H$8</f>
        <v>746311.52892623085</v>
      </c>
      <c r="G128" s="16">
        <f>(Central!G114*'Weighted 2'!$F$8)+(Step!G114*'Weighted 2'!$G$8)+(Slow!G114*'Weighted 2'!$H$8)</f>
        <v>0</v>
      </c>
      <c r="H128" s="16">
        <f>(Central!H114*'Weighted 2'!$F$8)+(Step!H114*'Weighted 2'!$G$8)+(Slow!H114*'Weighted 2'!$H$8)</f>
        <v>-2100.7746473638108</v>
      </c>
      <c r="I128" s="16">
        <f>(Central!I114*'Weighted 2'!$F$8)+(Step!I114*'Weighted 2'!$G$8)+(Slow!I114*'Weighted 2'!$H$8)</f>
        <v>-47056.983860981491</v>
      </c>
      <c r="J128" s="16">
        <f>(Central!J114*'Weighted 2'!$F$8)+(Step!J114*'Weighted 2'!$G$8)+(Slow!J114*'Weighted 2'!$H$8)</f>
        <v>-10342.757891085232</v>
      </c>
      <c r="K128" s="16">
        <f>(Central!K114*'Weighted 2'!$F$8)+(Step!K114*'Weighted 2'!$G$8)+(Slow!K114*'Weighted 2'!$H$8)</f>
        <v>-164649.05323824432</v>
      </c>
      <c r="L128" s="16">
        <f>(Central!L114*'Weighted 2'!$F$8)+(Step!L114*'Weighted 2'!$G$8)+(Slow!L114*'Weighted 2'!$H$8)</f>
        <v>-575.62067685247939</v>
      </c>
      <c r="M128" s="16">
        <f>(Central!M114*'Weighted 2'!$F$8)+(Step!M114*'Weighted 2'!$G$8)+(Slow!M114*'Weighted 2'!$H$8)</f>
        <v>-24062.49812119102</v>
      </c>
      <c r="N128" s="16">
        <f>(Central!N114*'Weighted 2'!$F$8)+(Step!N114*'Weighted 2'!$G$8)+(Slow!N114*'Weighted 2'!$H$8)</f>
        <v>-645.95749479611027</v>
      </c>
      <c r="O128" s="16">
        <f>(Central!O114*'Weighted 2'!$F$8)+(Step!O114*'Weighted 2'!$G$8)+(Slow!O114*'Weighted 2'!$H$8)</f>
        <v>-682.80630866996216</v>
      </c>
      <c r="P128" s="16">
        <f>(Central!P114*'Weighted 2'!$F$8)+(Step!P114*'Weighted 2'!$G$8)+(Slow!P114*'Weighted 2'!$H$8)</f>
        <v>-725.76301619063895</v>
      </c>
      <c r="Q128" s="16">
        <f>(Central!Q114*'Weighted 2'!$F$8)+(Step!Q114*'Weighted 2'!$G$8)+(Slow!Q114*'Weighted 2'!$H$8)</f>
        <v>-779.29929015129676</v>
      </c>
      <c r="R128" s="16">
        <f>(Central!R114*'Weighted 2'!$F$8)+(Step!R114*'Weighted 2'!$G$8)+(Slow!R114*'Weighted 2'!$H$8)</f>
        <v>11820.610916303611</v>
      </c>
      <c r="S128" s="16">
        <f>(Central!S114*'Weighted 2'!$F$8)+(Step!S114*'Weighted 2'!$G$8)+(Slow!S114*'Weighted 2'!$H$8)</f>
        <v>787.22350613293099</v>
      </c>
      <c r="T128" s="16">
        <f>(Central!T114*'Weighted 2'!$F$8)+(Step!T114*'Weighted 2'!$G$8)+(Slow!T114*'Weighted 2'!$H$8)</f>
        <v>66486.781171682058</v>
      </c>
      <c r="U128" s="16">
        <f>(Central!U114*'Weighted 2'!$F$8)+(Step!U114*'Weighted 2'!$G$8)+(Slow!U114*'Weighted 2'!$H$8)</f>
        <v>-40018.294870283251</v>
      </c>
      <c r="V128" s="16">
        <f>(Central!V114*'Weighted 2'!$F$8)+(Step!V114*'Weighted 2'!$G$8)+(Slow!V114*'Weighted 2'!$H$8)</f>
        <v>169022.55839539078</v>
      </c>
      <c r="W128" s="16">
        <f>(Central!W114*'Weighted 2'!$F$8)+(Step!W114*'Weighted 2'!$G$8)+(Slow!W114*'Weighted 2'!$H$8)</f>
        <v>-20394.098512143944</v>
      </c>
      <c r="X128" s="16">
        <f>(Central!X114*'Weighted 2'!$F$8)+(Step!X114*'Weighted 2'!$G$8)+(Slow!X114*'Weighted 2'!$H$8)</f>
        <v>-2779081.184657638</v>
      </c>
      <c r="Y128" s="16">
        <f>(Central!Y114*'Weighted 2'!$F$8)+(Step!Y114*'Weighted 2'!$G$8)+(Slow!Y114*'Weighted 2'!$H$8)</f>
        <v>334454.98073459469</v>
      </c>
      <c r="Z128" s="16">
        <f>(Central!Z114*'Weighted 2'!$F$8)+(Step!Z114*'Weighted 2'!$G$8)+(Slow!Z114*'Weighted 2'!$H$8)</f>
        <v>382628.62835853209</v>
      </c>
      <c r="AA128" s="16">
        <f>(Central!AA114*'Weighted 2'!$F$8)+(Step!AA114*'Weighted 2'!$G$8)+(Slow!AA114*'Weighted 2'!$H$8)</f>
        <v>1308474.384658718</v>
      </c>
      <c r="AB128" s="16">
        <f>(Central!AB114*'Weighted 2'!$F$8)+(Step!AB114*'Weighted 2'!$G$8)+(Slow!AB114*'Weighted 2'!$H$8)</f>
        <v>249336.27857105806</v>
      </c>
      <c r="AC128" s="16">
        <f>(Central!AC114*'Weighted 2'!$F$8)+(Step!AC114*'Weighted 2'!$G$8)+(Slow!AC114*'Weighted 2'!$H$8)</f>
        <v>1791185.1892783763</v>
      </c>
      <c r="AD128" s="16">
        <f>(Central!AD114*'Weighted 2'!$F$8)+(Step!AD114*'Weighted 2'!$G$8)+(Slow!AD114*'Weighted 2'!$H$8)</f>
        <v>1943679.7532640621</v>
      </c>
      <c r="AE128" s="16">
        <f>(Central!AE114*'Weighted 2'!$F$8)+(Step!AE114*'Weighted 2'!$G$8)+(Slow!AE114*'Weighted 2'!$H$8)</f>
        <v>-341379.21634559054</v>
      </c>
      <c r="AF128" s="16">
        <f>(Central!AF114*'Weighted 2'!$F$8)+(Step!AF114*'Weighted 2'!$G$8)+(Slow!AF114*'Weighted 2'!$H$8)</f>
        <v>1167058.3937894022</v>
      </c>
    </row>
    <row r="129" spans="2:32" x14ac:dyDescent="0.2">
      <c r="B129" s="172">
        <f>+'Option inputs'!$B$16</f>
        <v>2</v>
      </c>
      <c r="C129" s="13" t="str">
        <f>+'Option inputs'!$C$16</f>
        <v>Option 1B</v>
      </c>
      <c r="D129" s="164"/>
      <c r="E129" s="173" t="s">
        <v>35</v>
      </c>
      <c r="F129" s="17">
        <f>Central!F115*'Weighted 2'!$F$8+Step!F115*'Weighted 2'!$G$8+Slow!F115*'Weighted 2'!$H$8</f>
        <v>746311.52892623085</v>
      </c>
      <c r="G129" s="16">
        <f>(Central!G115*'Weighted 2'!$F$8)+(Step!G115*'Weighted 2'!$G$8)+(Slow!G115*'Weighted 2'!$H$8)</f>
        <v>0</v>
      </c>
      <c r="H129" s="16">
        <f>(Central!H115*'Weighted 2'!$F$8)+(Step!H115*'Weighted 2'!$G$8)+(Slow!H115*'Weighted 2'!$H$8)</f>
        <v>-2100.7746473638108</v>
      </c>
      <c r="I129" s="16">
        <f>(Central!I115*'Weighted 2'!$F$8)+(Step!I115*'Weighted 2'!$G$8)+(Slow!I115*'Weighted 2'!$H$8)</f>
        <v>-47056.983860981491</v>
      </c>
      <c r="J129" s="16">
        <f>(Central!J115*'Weighted 2'!$F$8)+(Step!J115*'Weighted 2'!$G$8)+(Slow!J115*'Weighted 2'!$H$8)</f>
        <v>-10342.757891085232</v>
      </c>
      <c r="K129" s="16">
        <f>(Central!K115*'Weighted 2'!$F$8)+(Step!K115*'Weighted 2'!$G$8)+(Slow!K115*'Weighted 2'!$H$8)</f>
        <v>-164649.05323824432</v>
      </c>
      <c r="L129" s="16">
        <f>(Central!L115*'Weighted 2'!$F$8)+(Step!L115*'Weighted 2'!$G$8)+(Slow!L115*'Weighted 2'!$H$8)</f>
        <v>-575.62067685247939</v>
      </c>
      <c r="M129" s="16">
        <f>(Central!M115*'Weighted 2'!$F$8)+(Step!M115*'Weighted 2'!$G$8)+(Slow!M115*'Weighted 2'!$H$8)</f>
        <v>-24062.49812119102</v>
      </c>
      <c r="N129" s="16">
        <f>(Central!N115*'Weighted 2'!$F$8)+(Step!N115*'Weighted 2'!$G$8)+(Slow!N115*'Weighted 2'!$H$8)</f>
        <v>-645.95749479611027</v>
      </c>
      <c r="O129" s="16">
        <f>(Central!O115*'Weighted 2'!$F$8)+(Step!O115*'Weighted 2'!$G$8)+(Slow!O115*'Weighted 2'!$H$8)</f>
        <v>-682.80630866996216</v>
      </c>
      <c r="P129" s="16">
        <f>(Central!P115*'Weighted 2'!$F$8)+(Step!P115*'Weighted 2'!$G$8)+(Slow!P115*'Weighted 2'!$H$8)</f>
        <v>-725.76301619063895</v>
      </c>
      <c r="Q129" s="16">
        <f>(Central!Q115*'Weighted 2'!$F$8)+(Step!Q115*'Weighted 2'!$G$8)+(Slow!Q115*'Weighted 2'!$H$8)</f>
        <v>-779.29929015129676</v>
      </c>
      <c r="R129" s="16">
        <f>(Central!R115*'Weighted 2'!$F$8)+(Step!R115*'Weighted 2'!$G$8)+(Slow!R115*'Weighted 2'!$H$8)</f>
        <v>11820.610916303611</v>
      </c>
      <c r="S129" s="16">
        <f>(Central!S115*'Weighted 2'!$F$8)+(Step!S115*'Weighted 2'!$G$8)+(Slow!S115*'Weighted 2'!$H$8)</f>
        <v>787.22350613293099</v>
      </c>
      <c r="T129" s="16">
        <f>(Central!T115*'Weighted 2'!$F$8)+(Step!T115*'Weighted 2'!$G$8)+(Slow!T115*'Weighted 2'!$H$8)</f>
        <v>66486.781171682058</v>
      </c>
      <c r="U129" s="16">
        <f>(Central!U115*'Weighted 2'!$F$8)+(Step!U115*'Weighted 2'!$G$8)+(Slow!U115*'Weighted 2'!$H$8)</f>
        <v>-40018.294870283251</v>
      </c>
      <c r="V129" s="16">
        <f>(Central!V115*'Weighted 2'!$F$8)+(Step!V115*'Weighted 2'!$G$8)+(Slow!V115*'Weighted 2'!$H$8)</f>
        <v>169022.55839539078</v>
      </c>
      <c r="W129" s="16">
        <f>(Central!W115*'Weighted 2'!$F$8)+(Step!W115*'Weighted 2'!$G$8)+(Slow!W115*'Weighted 2'!$H$8)</f>
        <v>-20394.098512143944</v>
      </c>
      <c r="X129" s="16">
        <f>(Central!X115*'Weighted 2'!$F$8)+(Step!X115*'Weighted 2'!$G$8)+(Slow!X115*'Weighted 2'!$H$8)</f>
        <v>-2779081.184657638</v>
      </c>
      <c r="Y129" s="16">
        <f>(Central!Y115*'Weighted 2'!$F$8)+(Step!Y115*'Weighted 2'!$G$8)+(Slow!Y115*'Weighted 2'!$H$8)</f>
        <v>334454.98073459469</v>
      </c>
      <c r="Z129" s="16">
        <f>(Central!Z115*'Weighted 2'!$F$8)+(Step!Z115*'Weighted 2'!$G$8)+(Slow!Z115*'Weighted 2'!$H$8)</f>
        <v>382628.62835853209</v>
      </c>
      <c r="AA129" s="16">
        <f>(Central!AA115*'Weighted 2'!$F$8)+(Step!AA115*'Weighted 2'!$G$8)+(Slow!AA115*'Weighted 2'!$H$8)</f>
        <v>1308474.384658718</v>
      </c>
      <c r="AB129" s="16">
        <f>(Central!AB115*'Weighted 2'!$F$8)+(Step!AB115*'Weighted 2'!$G$8)+(Slow!AB115*'Weighted 2'!$H$8)</f>
        <v>249336.27857105806</v>
      </c>
      <c r="AC129" s="16">
        <f>(Central!AC115*'Weighted 2'!$F$8)+(Step!AC115*'Weighted 2'!$G$8)+(Slow!AC115*'Weighted 2'!$H$8)</f>
        <v>1791185.1892783763</v>
      </c>
      <c r="AD129" s="16">
        <f>(Central!AD115*'Weighted 2'!$F$8)+(Step!AD115*'Weighted 2'!$G$8)+(Slow!AD115*'Weighted 2'!$H$8)</f>
        <v>1943679.7532640621</v>
      </c>
      <c r="AE129" s="16">
        <f>(Central!AE115*'Weighted 2'!$F$8)+(Step!AE115*'Weighted 2'!$G$8)+(Slow!AE115*'Weighted 2'!$H$8)</f>
        <v>-341379.21634559054</v>
      </c>
      <c r="AF129" s="16">
        <f>(Central!AF115*'Weighted 2'!$F$8)+(Step!AF115*'Weighted 2'!$G$8)+(Slow!AF115*'Weighted 2'!$H$8)</f>
        <v>1167058.3937894022</v>
      </c>
    </row>
    <row r="130" spans="2:32" x14ac:dyDescent="0.2">
      <c r="B130" s="172">
        <f>+'Option inputs'!$B$17</f>
        <v>3</v>
      </c>
      <c r="C130" s="13" t="str">
        <f>+'Option inputs'!$C$17</f>
        <v>Option 2</v>
      </c>
      <c r="D130" s="164"/>
      <c r="E130" s="173" t="s">
        <v>35</v>
      </c>
      <c r="F130" s="17">
        <f>Central!F116*'Weighted 2'!$F$8+Step!F116*'Weighted 2'!$G$8+Slow!F116*'Weighted 2'!$H$8</f>
        <v>754987.70695472998</v>
      </c>
      <c r="G130" s="16">
        <f>(Central!G116*'Weighted 2'!$F$8)+(Step!G116*'Weighted 2'!$G$8)+(Slow!G116*'Weighted 2'!$H$8)</f>
        <v>0</v>
      </c>
      <c r="H130" s="16">
        <f>(Central!H116*'Weighted 2'!$F$8)+(Step!H116*'Weighted 2'!$G$8)+(Slow!H116*'Weighted 2'!$H$8)</f>
        <v>-2329.5701065298272</v>
      </c>
      <c r="I130" s="16">
        <f>(Central!I116*'Weighted 2'!$F$8)+(Step!I116*'Weighted 2'!$G$8)+(Slow!I116*'Weighted 2'!$H$8)</f>
        <v>-47451.231163311393</v>
      </c>
      <c r="J130" s="16">
        <f>(Central!J116*'Weighted 2'!$F$8)+(Step!J116*'Weighted 2'!$G$8)+(Slow!J116*'Weighted 2'!$H$8)</f>
        <v>-10618.897697413544</v>
      </c>
      <c r="K130" s="16">
        <f>(Central!K116*'Weighted 2'!$F$8)+(Step!K116*'Weighted 2'!$G$8)+(Slow!K116*'Weighted 2'!$H$8)</f>
        <v>-170543.63251810992</v>
      </c>
      <c r="L130" s="16">
        <f>(Central!L116*'Weighted 2'!$F$8)+(Step!L116*'Weighted 2'!$G$8)+(Slow!L116*'Weighted 2'!$H$8)</f>
        <v>-832.48930980647367</v>
      </c>
      <c r="M130" s="16">
        <f>(Central!M116*'Weighted 2'!$F$8)+(Step!M116*'Weighted 2'!$G$8)+(Slow!M116*'Weighted 2'!$H$8)</f>
        <v>-24336.426440156712</v>
      </c>
      <c r="N130" s="16">
        <f>(Central!N116*'Weighted 2'!$F$8)+(Step!N116*'Weighted 2'!$G$8)+(Slow!N116*'Weighted 2'!$H$8)</f>
        <v>-931.66849143485206</v>
      </c>
      <c r="O130" s="16">
        <f>(Central!O116*'Weighted 2'!$F$8)+(Step!O116*'Weighted 2'!$G$8)+(Slow!O116*'Weighted 2'!$H$8)</f>
        <v>-987.8439189866881</v>
      </c>
      <c r="P130" s="16">
        <f>(Central!P116*'Weighted 2'!$F$8)+(Step!P116*'Weighted 2'!$G$8)+(Slow!P116*'Weighted 2'!$H$8)</f>
        <v>-1055.0271541270431</v>
      </c>
      <c r="Q130" s="16">
        <f>(Central!Q116*'Weighted 2'!$F$8)+(Step!Q116*'Weighted 2'!$G$8)+(Slow!Q116*'Weighted 2'!$H$8)</f>
        <v>-1142.6510379114816</v>
      </c>
      <c r="R130" s="16">
        <f>(Central!R116*'Weighted 2'!$F$8)+(Step!R116*'Weighted 2'!$G$8)+(Slow!R116*'Weighted 2'!$H$8)</f>
        <v>13191.76229192039</v>
      </c>
      <c r="S130" s="16">
        <f>(Central!S116*'Weighted 2'!$F$8)+(Step!S116*'Weighted 2'!$G$8)+(Slow!S116*'Weighted 2'!$H$8)</f>
        <v>421.86173169129108</v>
      </c>
      <c r="T130" s="16">
        <f>(Central!T116*'Weighted 2'!$F$8)+(Step!T116*'Weighted 2'!$G$8)+(Slow!T116*'Weighted 2'!$H$8)</f>
        <v>75897.740521307336</v>
      </c>
      <c r="U130" s="16">
        <f>(Central!U116*'Weighted 2'!$F$8)+(Step!U116*'Weighted 2'!$G$8)+(Slow!U116*'Weighted 2'!$H$8)</f>
        <v>-40360.79561658392</v>
      </c>
      <c r="V130" s="16">
        <f>(Central!V116*'Weighted 2'!$F$8)+(Step!V116*'Weighted 2'!$G$8)+(Slow!V116*'Weighted 2'!$H$8)</f>
        <v>153873.08782569674</v>
      </c>
      <c r="W130" s="16">
        <f>(Central!W116*'Weighted 2'!$F$8)+(Step!W116*'Weighted 2'!$G$8)+(Slow!W116*'Weighted 2'!$H$8)</f>
        <v>-36884.034844836802</v>
      </c>
      <c r="X130" s="16">
        <f>(Central!X116*'Weighted 2'!$F$8)+(Step!X116*'Weighted 2'!$G$8)+(Slow!X116*'Weighted 2'!$H$8)</f>
        <v>-2897374.6973334616</v>
      </c>
      <c r="Y130" s="16">
        <f>(Central!Y116*'Weighted 2'!$F$8)+(Step!Y116*'Weighted 2'!$G$8)+(Slow!Y116*'Weighted 2'!$H$8)</f>
        <v>323533.06038549112</v>
      </c>
      <c r="Z130" s="16">
        <f>(Central!Z116*'Weighted 2'!$F$8)+(Step!Z116*'Weighted 2'!$G$8)+(Slow!Z116*'Weighted 2'!$H$8)</f>
        <v>375163.98235609429</v>
      </c>
      <c r="AA130" s="16">
        <f>(Central!AA116*'Weighted 2'!$F$8)+(Step!AA116*'Weighted 2'!$G$8)+(Slow!AA116*'Weighted 2'!$H$8)</f>
        <v>1361143.8506507908</v>
      </c>
      <c r="AB130" s="16">
        <f>(Central!AB116*'Weighted 2'!$F$8)+(Step!AB116*'Weighted 2'!$G$8)+(Slow!AB116*'Weighted 2'!$H$8)</f>
        <v>270593.35766570689</v>
      </c>
      <c r="AC130" s="16">
        <f>(Central!AC116*'Weighted 2'!$F$8)+(Step!AC116*'Weighted 2'!$G$8)+(Slow!AC116*'Weighted 2'!$H$8)</f>
        <v>1994321.8936432414</v>
      </c>
      <c r="AD130" s="16">
        <f>(Central!AD116*'Weighted 2'!$F$8)+(Step!AD116*'Weighted 2'!$G$8)+(Slow!AD116*'Weighted 2'!$H$8)</f>
        <v>1851801.602238148</v>
      </c>
      <c r="AE130" s="16">
        <f>(Central!AE116*'Weighted 2'!$F$8)+(Step!AE116*'Weighted 2'!$G$8)+(Slow!AE116*'Weighted 2'!$H$8)</f>
        <v>-382648.07780068018</v>
      </c>
      <c r="AF130" s="16">
        <f>(Central!AF116*'Weighted 2'!$F$8)+(Step!AF116*'Weighted 2'!$G$8)+(Slow!AF116*'Weighted 2'!$H$8)</f>
        <v>1290185.2382138823</v>
      </c>
    </row>
    <row r="131" spans="2:32" x14ac:dyDescent="0.2">
      <c r="B131" s="172">
        <f>+'Option inputs'!$B$18</f>
        <v>4</v>
      </c>
      <c r="C131" s="13" t="str">
        <f>+'Option inputs'!$C$18</f>
        <v>Option 3</v>
      </c>
      <c r="D131" s="164"/>
      <c r="E131" s="173" t="s">
        <v>35</v>
      </c>
      <c r="F131" s="17">
        <f>Central!F117*'Weighted 2'!$F$8+Step!F117*'Weighted 2'!$G$8+Slow!F117*'Weighted 2'!$H$8</f>
        <v>-113214.95104024722</v>
      </c>
      <c r="G131" s="16">
        <f>(Central!G117*'Weighted 2'!$F$8)+(Step!G117*'Weighted 2'!$G$8)+(Slow!G117*'Weighted 2'!$H$8)</f>
        <v>0</v>
      </c>
      <c r="H131" s="16">
        <f>(Central!H117*'Weighted 2'!$F$8)+(Step!H117*'Weighted 2'!$G$8)+(Slow!H117*'Weighted 2'!$H$8)</f>
        <v>-221.87896436668962</v>
      </c>
      <c r="I131" s="16">
        <f>(Central!I117*'Weighted 2'!$F$8)+(Step!I117*'Weighted 2'!$G$8)+(Slow!I117*'Weighted 2'!$H$8)</f>
        <v>-7958.1354830068549</v>
      </c>
      <c r="J131" s="16">
        <f>(Central!J117*'Weighted 2'!$F$8)+(Step!J117*'Weighted 2'!$G$8)+(Slow!J117*'Weighted 2'!$H$8)</f>
        <v>-1551.929517519864</v>
      </c>
      <c r="K131" s="16">
        <f>(Central!K117*'Weighted 2'!$F$8)+(Step!K117*'Weighted 2'!$G$8)+(Slow!K117*'Weighted 2'!$H$8)</f>
        <v>-5718.0131584556657</v>
      </c>
      <c r="L131" s="16">
        <f>(Central!L117*'Weighted 2'!$F$8)+(Step!L117*'Weighted 2'!$G$8)+(Slow!L117*'Weighted 2'!$H$8)</f>
        <v>235.94275808607335</v>
      </c>
      <c r="M131" s="16">
        <f>(Central!M117*'Weighted 2'!$F$8)+(Step!M117*'Weighted 2'!$G$8)+(Slow!M117*'Weighted 2'!$H$8)</f>
        <v>-2400.2634839226021</v>
      </c>
      <c r="N131" s="16">
        <f>(Central!N117*'Weighted 2'!$F$8)+(Step!N117*'Weighted 2'!$G$8)+(Slow!N117*'Weighted 2'!$H$8)</f>
        <v>265.79508566408367</v>
      </c>
      <c r="O131" s="16">
        <f>(Central!O117*'Weighted 2'!$F$8)+(Step!O117*'Weighted 2'!$G$8)+(Slow!O117*'Weighted 2'!$H$8)</f>
        <v>279.15665579026842</v>
      </c>
      <c r="P131" s="16">
        <f>(Central!P117*'Weighted 2'!$F$8)+(Step!P117*'Weighted 2'!$G$8)+(Slow!P117*'Weighted 2'!$H$8)</f>
        <v>294.88674350457262</v>
      </c>
      <c r="Q131" s="16">
        <f>(Central!Q117*'Weighted 2'!$F$8)+(Step!Q117*'Weighted 2'!$G$8)+(Slow!Q117*'Weighted 2'!$H$8)</f>
        <v>311.67634396924871</v>
      </c>
      <c r="R131" s="16">
        <f>(Central!R117*'Weighted 2'!$F$8)+(Step!R117*'Weighted 2'!$G$8)+(Slow!R117*'Weighted 2'!$H$8)</f>
        <v>2622.9695969616851</v>
      </c>
      <c r="S131" s="16">
        <f>(Central!S117*'Weighted 2'!$F$8)+(Step!S117*'Weighted 2'!$G$8)+(Slow!S117*'Weighted 2'!$H$8)</f>
        <v>318.18873817928261</v>
      </c>
      <c r="T131" s="16">
        <f>(Central!T117*'Weighted 2'!$F$8)+(Step!T117*'Weighted 2'!$G$8)+(Slow!T117*'Weighted 2'!$H$8)</f>
        <v>24678.161041595788</v>
      </c>
      <c r="U131" s="16">
        <f>(Central!U117*'Weighted 2'!$F$8)+(Step!U117*'Weighted 2'!$G$8)+(Slow!U117*'Weighted 2'!$H$8)</f>
        <v>-7015.1305164546247</v>
      </c>
      <c r="V131" s="16">
        <f>(Central!V117*'Weighted 2'!$F$8)+(Step!V117*'Weighted 2'!$G$8)+(Slow!V117*'Weighted 2'!$H$8)</f>
        <v>-6108.6560625773272</v>
      </c>
      <c r="W131" s="16">
        <f>(Central!W117*'Weighted 2'!$F$8)+(Step!W117*'Weighted 2'!$G$8)+(Slow!W117*'Weighted 2'!$H$8)</f>
        <v>-27902.224707199784</v>
      </c>
      <c r="X131" s="16">
        <f>(Central!X117*'Weighted 2'!$F$8)+(Step!X117*'Weighted 2'!$G$8)+(Slow!X117*'Weighted 2'!$H$8)</f>
        <v>63344.525808681734</v>
      </c>
      <c r="Y131" s="16">
        <f>(Central!Y117*'Weighted 2'!$F$8)+(Step!Y117*'Weighted 2'!$G$8)+(Slow!Y117*'Weighted 2'!$H$8)</f>
        <v>-7447.2884528814702</v>
      </c>
      <c r="Z131" s="16">
        <f>(Central!Z117*'Weighted 2'!$F$8)+(Step!Z117*'Weighted 2'!$G$8)+(Slow!Z117*'Weighted 2'!$H$8)</f>
        <v>-20475.746063915663</v>
      </c>
      <c r="AA131" s="16">
        <f>(Central!AA117*'Weighted 2'!$F$8)+(Step!AA117*'Weighted 2'!$G$8)+(Slow!AA117*'Weighted 2'!$H$8)</f>
        <v>-44100.322663930157</v>
      </c>
      <c r="AB131" s="16">
        <f>(Central!AB117*'Weighted 2'!$F$8)+(Step!AB117*'Weighted 2'!$G$8)+(Slow!AB117*'Weighted 2'!$H$8)</f>
        <v>-155131.71245448221</v>
      </c>
      <c r="AC131" s="16">
        <f>(Central!AC117*'Weighted 2'!$F$8)+(Step!AC117*'Weighted 2'!$G$8)+(Slow!AC117*'Weighted 2'!$H$8)</f>
        <v>24980.603074930608</v>
      </c>
      <c r="AD131" s="16">
        <f>(Central!AD117*'Weighted 2'!$F$8)+(Step!AD117*'Weighted 2'!$G$8)+(Slow!AD117*'Weighted 2'!$H$8)</f>
        <v>330367.96633489162</v>
      </c>
      <c r="AE131" s="16">
        <f>(Central!AE117*'Weighted 2'!$F$8)+(Step!AE117*'Weighted 2'!$G$8)+(Slow!AE117*'Weighted 2'!$H$8)</f>
        <v>-630757.07671955298</v>
      </c>
      <c r="AF131" s="16">
        <f>(Central!AF117*'Weighted 2'!$F$8)+(Step!AF117*'Weighted 2'!$G$8)+(Slow!AF117*'Weighted 2'!$H$8)</f>
        <v>32609.258067395538</v>
      </c>
    </row>
    <row r="132" spans="2:32" x14ac:dyDescent="0.2">
      <c r="B132" s="172">
        <f>+'Option inputs'!$B$19</f>
        <v>5</v>
      </c>
      <c r="C132" s="13" t="str">
        <f>+'Option inputs'!$C$19</f>
        <v>Option 4</v>
      </c>
      <c r="D132" s="164"/>
      <c r="E132" s="173" t="s">
        <v>35</v>
      </c>
      <c r="F132" s="17">
        <f>Central!F118*'Weighted 2'!$F$8+Step!F118*'Weighted 2'!$G$8+Slow!F118*'Weighted 2'!$H$8</f>
        <v>0</v>
      </c>
      <c r="G132" s="16" t="e">
        <f>(Central!G118*'Weighted 2'!$F$8)+(Step!G118*'Weighted 2'!$G$8)+(Slow!G118*'Weighted 2'!$H$8)</f>
        <v>#VALUE!</v>
      </c>
      <c r="H132" s="16">
        <f>(Central!H118*'Weighted 2'!$F$8)+(Step!H118*'Weighted 2'!$G$8)+(Slow!H118*'Weighted 2'!$H$8)</f>
        <v>0</v>
      </c>
      <c r="I132" s="16">
        <f>(Central!I118*'Weighted 2'!$F$8)+(Step!I118*'Weighted 2'!$G$8)+(Slow!I118*'Weighted 2'!$H$8)</f>
        <v>0</v>
      </c>
      <c r="J132" s="16">
        <f>(Central!J118*'Weighted 2'!$F$8)+(Step!J118*'Weighted 2'!$G$8)+(Slow!J118*'Weighted 2'!$H$8)</f>
        <v>0</v>
      </c>
      <c r="K132" s="16">
        <f>(Central!K118*'Weighted 2'!$F$8)+(Step!K118*'Weighted 2'!$G$8)+(Slow!K118*'Weighted 2'!$H$8)</f>
        <v>0</v>
      </c>
      <c r="L132" s="16">
        <f>(Central!L118*'Weighted 2'!$F$8)+(Step!L118*'Weighted 2'!$G$8)+(Slow!L118*'Weighted 2'!$H$8)</f>
        <v>0</v>
      </c>
      <c r="M132" s="16">
        <f>(Central!M118*'Weighted 2'!$F$8)+(Step!M118*'Weighted 2'!$G$8)+(Slow!M118*'Weighted 2'!$H$8)</f>
        <v>0</v>
      </c>
      <c r="N132" s="16">
        <f>(Central!N118*'Weighted 2'!$F$8)+(Step!N118*'Weighted 2'!$G$8)+(Slow!N118*'Weighted 2'!$H$8)</f>
        <v>0</v>
      </c>
      <c r="O132" s="16">
        <f>(Central!O118*'Weighted 2'!$F$8)+(Step!O118*'Weighted 2'!$G$8)+(Slow!O118*'Weighted 2'!$H$8)</f>
        <v>0</v>
      </c>
      <c r="P132" s="16">
        <f>(Central!P118*'Weighted 2'!$F$8)+(Step!P118*'Weighted 2'!$G$8)+(Slow!P118*'Weighted 2'!$H$8)</f>
        <v>0</v>
      </c>
      <c r="Q132" s="16">
        <f>(Central!Q118*'Weighted 2'!$F$8)+(Step!Q118*'Weighted 2'!$G$8)+(Slow!Q118*'Weighted 2'!$H$8)</f>
        <v>0</v>
      </c>
      <c r="R132" s="16">
        <f>(Central!R118*'Weighted 2'!$F$8)+(Step!R118*'Weighted 2'!$G$8)+(Slow!R118*'Weighted 2'!$H$8)</f>
        <v>0</v>
      </c>
      <c r="S132" s="16">
        <f>(Central!S118*'Weighted 2'!$F$8)+(Step!S118*'Weighted 2'!$G$8)+(Slow!S118*'Weighted 2'!$H$8)</f>
        <v>0</v>
      </c>
      <c r="T132" s="16">
        <f>(Central!T118*'Weighted 2'!$F$8)+(Step!T118*'Weighted 2'!$G$8)+(Slow!T118*'Weighted 2'!$H$8)</f>
        <v>0</v>
      </c>
      <c r="U132" s="16">
        <f>(Central!U118*'Weighted 2'!$F$8)+(Step!U118*'Weighted 2'!$G$8)+(Slow!U118*'Weighted 2'!$H$8)</f>
        <v>0</v>
      </c>
      <c r="V132" s="16">
        <f>(Central!V118*'Weighted 2'!$F$8)+(Step!V118*'Weighted 2'!$G$8)+(Slow!V118*'Weighted 2'!$H$8)</f>
        <v>0</v>
      </c>
      <c r="W132" s="16">
        <f>(Central!W118*'Weighted 2'!$F$8)+(Step!W118*'Weighted 2'!$G$8)+(Slow!W118*'Weighted 2'!$H$8)</f>
        <v>0</v>
      </c>
      <c r="X132" s="16">
        <f>(Central!X118*'Weighted 2'!$F$8)+(Step!X118*'Weighted 2'!$G$8)+(Slow!X118*'Weighted 2'!$H$8)</f>
        <v>0</v>
      </c>
      <c r="Y132" s="16">
        <f>(Central!Y118*'Weighted 2'!$F$8)+(Step!Y118*'Weighted 2'!$G$8)+(Slow!Y118*'Weighted 2'!$H$8)</f>
        <v>0</v>
      </c>
      <c r="Z132" s="16">
        <f>(Central!Z118*'Weighted 2'!$F$8)+(Step!Z118*'Weighted 2'!$G$8)+(Slow!Z118*'Weighted 2'!$H$8)</f>
        <v>0</v>
      </c>
      <c r="AA132" s="16">
        <f>(Central!AA118*'Weighted 2'!$F$8)+(Step!AA118*'Weighted 2'!$G$8)+(Slow!AA118*'Weighted 2'!$H$8)</f>
        <v>0</v>
      </c>
      <c r="AB132" s="16">
        <f>(Central!AB118*'Weighted 2'!$F$8)+(Step!AB118*'Weighted 2'!$G$8)+(Slow!AB118*'Weighted 2'!$H$8)</f>
        <v>0</v>
      </c>
      <c r="AC132" s="16">
        <f>(Central!AC118*'Weighted 2'!$F$8)+(Step!AC118*'Weighted 2'!$G$8)+(Slow!AC118*'Weighted 2'!$H$8)</f>
        <v>0</v>
      </c>
      <c r="AD132" s="16">
        <f>(Central!AD118*'Weighted 2'!$F$8)+(Step!AD118*'Weighted 2'!$G$8)+(Slow!AD118*'Weighted 2'!$H$8)</f>
        <v>0</v>
      </c>
      <c r="AE132" s="16">
        <f>(Central!AE118*'Weighted 2'!$F$8)+(Step!AE118*'Weighted 2'!$G$8)+(Slow!AE118*'Weighted 2'!$H$8)</f>
        <v>0</v>
      </c>
      <c r="AF132" s="16">
        <f>(Central!AF118*'Weighted 2'!$F$8)+(Step!AF118*'Weighted 2'!$G$8)+(Slow!AF118*'Weighted 2'!$H$8)</f>
        <v>0</v>
      </c>
    </row>
    <row r="133" spans="2:32" x14ac:dyDescent="0.2">
      <c r="B133" s="172">
        <f>+'Option inputs'!$B$20</f>
        <v>6</v>
      </c>
      <c r="C133" s="13" t="str">
        <f>+'Option inputs'!$C$20</f>
        <v>Option 5</v>
      </c>
      <c r="D133" s="164"/>
      <c r="E133" s="173" t="s">
        <v>35</v>
      </c>
      <c r="F133" s="17">
        <f>Central!F119*'Weighted 2'!$F$8+Step!F119*'Weighted 2'!$G$8+Slow!F119*'Weighted 2'!$H$8</f>
        <v>0</v>
      </c>
      <c r="G133" s="16" t="e">
        <f>(Central!G119*'Weighted 2'!$F$8)+(Step!G119*'Weighted 2'!$G$8)+(Slow!G119*'Weighted 2'!$H$8)</f>
        <v>#VALUE!</v>
      </c>
      <c r="H133" s="16">
        <f>(Central!H119*'Weighted 2'!$F$8)+(Step!H119*'Weighted 2'!$G$8)+(Slow!H119*'Weighted 2'!$H$8)</f>
        <v>0</v>
      </c>
      <c r="I133" s="16">
        <f>(Central!I119*'Weighted 2'!$F$8)+(Step!I119*'Weighted 2'!$G$8)+(Slow!I119*'Weighted 2'!$H$8)</f>
        <v>0</v>
      </c>
      <c r="J133" s="16">
        <f>(Central!J119*'Weighted 2'!$F$8)+(Step!J119*'Weighted 2'!$G$8)+(Slow!J119*'Weighted 2'!$H$8)</f>
        <v>0</v>
      </c>
      <c r="K133" s="16">
        <f>(Central!K119*'Weighted 2'!$F$8)+(Step!K119*'Weighted 2'!$G$8)+(Slow!K119*'Weighted 2'!$H$8)</f>
        <v>0</v>
      </c>
      <c r="L133" s="16">
        <f>(Central!L119*'Weighted 2'!$F$8)+(Step!L119*'Weighted 2'!$G$8)+(Slow!L119*'Weighted 2'!$H$8)</f>
        <v>0</v>
      </c>
      <c r="M133" s="16">
        <f>(Central!M119*'Weighted 2'!$F$8)+(Step!M119*'Weighted 2'!$G$8)+(Slow!M119*'Weighted 2'!$H$8)</f>
        <v>0</v>
      </c>
      <c r="N133" s="16">
        <f>(Central!N119*'Weighted 2'!$F$8)+(Step!N119*'Weighted 2'!$G$8)+(Slow!N119*'Weighted 2'!$H$8)</f>
        <v>0</v>
      </c>
      <c r="O133" s="16">
        <f>(Central!O119*'Weighted 2'!$F$8)+(Step!O119*'Weighted 2'!$G$8)+(Slow!O119*'Weighted 2'!$H$8)</f>
        <v>0</v>
      </c>
      <c r="P133" s="16">
        <f>(Central!P119*'Weighted 2'!$F$8)+(Step!P119*'Weighted 2'!$G$8)+(Slow!P119*'Weighted 2'!$H$8)</f>
        <v>0</v>
      </c>
      <c r="Q133" s="16">
        <f>(Central!Q119*'Weighted 2'!$F$8)+(Step!Q119*'Weighted 2'!$G$8)+(Slow!Q119*'Weighted 2'!$H$8)</f>
        <v>0</v>
      </c>
      <c r="R133" s="16">
        <f>(Central!R119*'Weighted 2'!$F$8)+(Step!R119*'Weighted 2'!$G$8)+(Slow!R119*'Weighted 2'!$H$8)</f>
        <v>0</v>
      </c>
      <c r="S133" s="16">
        <f>(Central!S119*'Weighted 2'!$F$8)+(Step!S119*'Weighted 2'!$G$8)+(Slow!S119*'Weighted 2'!$H$8)</f>
        <v>0</v>
      </c>
      <c r="T133" s="16">
        <f>(Central!T119*'Weighted 2'!$F$8)+(Step!T119*'Weighted 2'!$G$8)+(Slow!T119*'Weighted 2'!$H$8)</f>
        <v>0</v>
      </c>
      <c r="U133" s="16">
        <f>(Central!U119*'Weighted 2'!$F$8)+(Step!U119*'Weighted 2'!$G$8)+(Slow!U119*'Weighted 2'!$H$8)</f>
        <v>0</v>
      </c>
      <c r="V133" s="16">
        <f>(Central!V119*'Weighted 2'!$F$8)+(Step!V119*'Weighted 2'!$G$8)+(Slow!V119*'Weighted 2'!$H$8)</f>
        <v>0</v>
      </c>
      <c r="W133" s="16">
        <f>(Central!W119*'Weighted 2'!$F$8)+(Step!W119*'Weighted 2'!$G$8)+(Slow!W119*'Weighted 2'!$H$8)</f>
        <v>0</v>
      </c>
      <c r="X133" s="16">
        <f>(Central!X119*'Weighted 2'!$F$8)+(Step!X119*'Weighted 2'!$G$8)+(Slow!X119*'Weighted 2'!$H$8)</f>
        <v>0</v>
      </c>
      <c r="Y133" s="16">
        <f>(Central!Y119*'Weighted 2'!$F$8)+(Step!Y119*'Weighted 2'!$G$8)+(Slow!Y119*'Weighted 2'!$H$8)</f>
        <v>0</v>
      </c>
      <c r="Z133" s="16">
        <f>(Central!Z119*'Weighted 2'!$F$8)+(Step!Z119*'Weighted 2'!$G$8)+(Slow!Z119*'Weighted 2'!$H$8)</f>
        <v>0</v>
      </c>
      <c r="AA133" s="16">
        <f>(Central!AA119*'Weighted 2'!$F$8)+(Step!AA119*'Weighted 2'!$G$8)+(Slow!AA119*'Weighted 2'!$H$8)</f>
        <v>0</v>
      </c>
      <c r="AB133" s="16">
        <f>(Central!AB119*'Weighted 2'!$F$8)+(Step!AB119*'Weighted 2'!$G$8)+(Slow!AB119*'Weighted 2'!$H$8)</f>
        <v>0</v>
      </c>
      <c r="AC133" s="16">
        <f>(Central!AC119*'Weighted 2'!$F$8)+(Step!AC119*'Weighted 2'!$G$8)+(Slow!AC119*'Weighted 2'!$H$8)</f>
        <v>0</v>
      </c>
      <c r="AD133" s="16">
        <f>(Central!AD119*'Weighted 2'!$F$8)+(Step!AD119*'Weighted 2'!$G$8)+(Slow!AD119*'Weighted 2'!$H$8)</f>
        <v>0</v>
      </c>
      <c r="AE133" s="16">
        <f>(Central!AE119*'Weighted 2'!$F$8)+(Step!AE119*'Weighted 2'!$G$8)+(Slow!AE119*'Weighted 2'!$H$8)</f>
        <v>0</v>
      </c>
      <c r="AF133" s="16">
        <f>(Central!AF119*'Weighted 2'!$F$8)+(Step!AF119*'Weighted 2'!$G$8)+(Slow!AF119*'Weighted 2'!$H$8)</f>
        <v>0</v>
      </c>
    </row>
    <row r="134" spans="2:32" x14ac:dyDescent="0.2">
      <c r="B134" s="172" t="e">
        <f>+'Option inputs'!#REF!</f>
        <v>#REF!</v>
      </c>
      <c r="C134" s="13" t="e">
        <f>+'Option inputs'!#REF!</f>
        <v>#REF!</v>
      </c>
      <c r="D134" s="164"/>
      <c r="E134" s="173" t="s">
        <v>35</v>
      </c>
      <c r="F134" s="17" t="e">
        <f>Central!#REF!*'Weighted 2'!$F$8+Step!#REF!*'Weighted 2'!$G$8+Slow!#REF!*'Weighted 2'!$H$8</f>
        <v>#REF!</v>
      </c>
      <c r="G134" s="16" t="e">
        <f>(Central!#REF!*'Weighted 2'!$F$8)+(Step!#REF!*'Weighted 2'!$G$8)+(Slow!#REF!*'Weighted 2'!$H$8)</f>
        <v>#REF!</v>
      </c>
      <c r="H134" s="16" t="e">
        <f>(Central!#REF!*'Weighted 2'!$F$8)+(Step!#REF!*'Weighted 2'!$G$8)+(Slow!#REF!*'Weighted 2'!$H$8)</f>
        <v>#REF!</v>
      </c>
      <c r="I134" s="16" t="e">
        <f>(Central!#REF!*'Weighted 2'!$F$8)+(Step!#REF!*'Weighted 2'!$G$8)+(Slow!#REF!*'Weighted 2'!$H$8)</f>
        <v>#REF!</v>
      </c>
      <c r="J134" s="16" t="e">
        <f>(Central!#REF!*'Weighted 2'!$F$8)+(Step!#REF!*'Weighted 2'!$G$8)+(Slow!#REF!*'Weighted 2'!$H$8)</f>
        <v>#REF!</v>
      </c>
      <c r="K134" s="16" t="e">
        <f>(Central!#REF!*'Weighted 2'!$F$8)+(Step!#REF!*'Weighted 2'!$G$8)+(Slow!#REF!*'Weighted 2'!$H$8)</f>
        <v>#REF!</v>
      </c>
      <c r="L134" s="16" t="e">
        <f>(Central!#REF!*'Weighted 2'!$F$8)+(Step!#REF!*'Weighted 2'!$G$8)+(Slow!#REF!*'Weighted 2'!$H$8)</f>
        <v>#REF!</v>
      </c>
      <c r="M134" s="16" t="e">
        <f>(Central!#REF!*'Weighted 2'!$F$8)+(Step!#REF!*'Weighted 2'!$G$8)+(Slow!#REF!*'Weighted 2'!$H$8)</f>
        <v>#REF!</v>
      </c>
      <c r="N134" s="16" t="e">
        <f>(Central!#REF!*'Weighted 2'!$F$8)+(Step!#REF!*'Weighted 2'!$G$8)+(Slow!#REF!*'Weighted 2'!$H$8)</f>
        <v>#REF!</v>
      </c>
      <c r="O134" s="16" t="e">
        <f>(Central!#REF!*'Weighted 2'!$F$8)+(Step!#REF!*'Weighted 2'!$G$8)+(Slow!#REF!*'Weighted 2'!$H$8)</f>
        <v>#REF!</v>
      </c>
      <c r="P134" s="16" t="e">
        <f>(Central!#REF!*'Weighted 2'!$F$8)+(Step!#REF!*'Weighted 2'!$G$8)+(Slow!#REF!*'Weighted 2'!$H$8)</f>
        <v>#REF!</v>
      </c>
      <c r="Q134" s="16" t="e">
        <f>(Central!#REF!*'Weighted 2'!$F$8)+(Step!#REF!*'Weighted 2'!$G$8)+(Slow!#REF!*'Weighted 2'!$H$8)</f>
        <v>#REF!</v>
      </c>
      <c r="R134" s="16" t="e">
        <f>(Central!#REF!*'Weighted 2'!$F$8)+(Step!#REF!*'Weighted 2'!$G$8)+(Slow!#REF!*'Weighted 2'!$H$8)</f>
        <v>#REF!</v>
      </c>
      <c r="S134" s="16" t="e">
        <f>(Central!#REF!*'Weighted 2'!$F$8)+(Step!#REF!*'Weighted 2'!$G$8)+(Slow!#REF!*'Weighted 2'!$H$8)</f>
        <v>#REF!</v>
      </c>
      <c r="T134" s="16" t="e">
        <f>(Central!#REF!*'Weighted 2'!$F$8)+(Step!#REF!*'Weighted 2'!$G$8)+(Slow!#REF!*'Weighted 2'!$H$8)</f>
        <v>#REF!</v>
      </c>
      <c r="U134" s="16" t="e">
        <f>(Central!#REF!*'Weighted 2'!$F$8)+(Step!#REF!*'Weighted 2'!$G$8)+(Slow!#REF!*'Weighted 2'!$H$8)</f>
        <v>#REF!</v>
      </c>
      <c r="V134" s="16" t="e">
        <f>(Central!#REF!*'Weighted 2'!$F$8)+(Step!#REF!*'Weighted 2'!$G$8)+(Slow!#REF!*'Weighted 2'!$H$8)</f>
        <v>#REF!</v>
      </c>
      <c r="W134" s="16" t="e">
        <f>(Central!#REF!*'Weighted 2'!$F$8)+(Step!#REF!*'Weighted 2'!$G$8)+(Slow!#REF!*'Weighted 2'!$H$8)</f>
        <v>#REF!</v>
      </c>
      <c r="X134" s="16" t="e">
        <f>(Central!#REF!*'Weighted 2'!$F$8)+(Step!#REF!*'Weighted 2'!$G$8)+(Slow!#REF!*'Weighted 2'!$H$8)</f>
        <v>#REF!</v>
      </c>
      <c r="Y134" s="16" t="e">
        <f>(Central!#REF!*'Weighted 2'!$F$8)+(Step!#REF!*'Weighted 2'!$G$8)+(Slow!#REF!*'Weighted 2'!$H$8)</f>
        <v>#REF!</v>
      </c>
      <c r="Z134" s="16" t="e">
        <f>(Central!#REF!*'Weighted 2'!$F$8)+(Step!#REF!*'Weighted 2'!$G$8)+(Slow!#REF!*'Weighted 2'!$H$8)</f>
        <v>#REF!</v>
      </c>
      <c r="AA134" s="16" t="e">
        <f>(Central!#REF!*'Weighted 2'!$F$8)+(Step!#REF!*'Weighted 2'!$G$8)+(Slow!#REF!*'Weighted 2'!$H$8)</f>
        <v>#REF!</v>
      </c>
      <c r="AB134" s="16" t="e">
        <f>(Central!#REF!*'Weighted 2'!$F$8)+(Step!#REF!*'Weighted 2'!$G$8)+(Slow!#REF!*'Weighted 2'!$H$8)</f>
        <v>#REF!</v>
      </c>
      <c r="AC134" s="16" t="e">
        <f>(Central!#REF!*'Weighted 2'!$F$8)+(Step!#REF!*'Weighted 2'!$G$8)+(Slow!#REF!*'Weighted 2'!$H$8)</f>
        <v>#REF!</v>
      </c>
      <c r="AD134" s="16" t="e">
        <f>(Central!#REF!*'Weighted 2'!$F$8)+(Step!#REF!*'Weighted 2'!$G$8)+(Slow!#REF!*'Weighted 2'!$H$8)</f>
        <v>#REF!</v>
      </c>
      <c r="AE134" s="16" t="e">
        <f>(Central!#REF!*'Weighted 2'!$F$8)+(Step!#REF!*'Weighted 2'!$G$8)+(Slow!#REF!*'Weighted 2'!$H$8)</f>
        <v>#REF!</v>
      </c>
      <c r="AF134" s="16" t="e">
        <f>(Central!#REF!*'Weighted 2'!$F$8)+(Step!#REF!*'Weighted 2'!$G$8)+(Slow!#REF!*'Weighted 2'!$H$8)</f>
        <v>#REF!</v>
      </c>
    </row>
    <row r="135" spans="2:32" x14ac:dyDescent="0.2">
      <c r="B135" s="172" t="e">
        <f>+'Option inputs'!#REF!</f>
        <v>#REF!</v>
      </c>
      <c r="C135" s="13" t="e">
        <f>+'Option inputs'!#REF!</f>
        <v>#REF!</v>
      </c>
      <c r="D135" s="164"/>
      <c r="E135" s="173" t="s">
        <v>35</v>
      </c>
      <c r="F135" s="17" t="e">
        <f>Central!#REF!*'Weighted 2'!$F$8+Step!#REF!*'Weighted 2'!$G$8+Slow!#REF!*'Weighted 2'!$H$8</f>
        <v>#REF!</v>
      </c>
      <c r="G135" s="16" t="e">
        <f>(Central!#REF!*'Weighted 2'!$F$8)+(Step!#REF!*'Weighted 2'!$G$8)+(Slow!#REF!*'Weighted 2'!$H$8)</f>
        <v>#REF!</v>
      </c>
      <c r="H135" s="16" t="e">
        <f>(Central!#REF!*'Weighted 2'!$F$8)+(Step!#REF!*'Weighted 2'!$G$8)+(Slow!#REF!*'Weighted 2'!$H$8)</f>
        <v>#REF!</v>
      </c>
      <c r="I135" s="16" t="e">
        <f>(Central!#REF!*'Weighted 2'!$F$8)+(Step!#REF!*'Weighted 2'!$G$8)+(Slow!#REF!*'Weighted 2'!$H$8)</f>
        <v>#REF!</v>
      </c>
      <c r="J135" s="16" t="e">
        <f>(Central!#REF!*'Weighted 2'!$F$8)+(Step!#REF!*'Weighted 2'!$G$8)+(Slow!#REF!*'Weighted 2'!$H$8)</f>
        <v>#REF!</v>
      </c>
      <c r="K135" s="16" t="e">
        <f>(Central!#REF!*'Weighted 2'!$F$8)+(Step!#REF!*'Weighted 2'!$G$8)+(Slow!#REF!*'Weighted 2'!$H$8)</f>
        <v>#REF!</v>
      </c>
      <c r="L135" s="16" t="e">
        <f>(Central!#REF!*'Weighted 2'!$F$8)+(Step!#REF!*'Weighted 2'!$G$8)+(Slow!#REF!*'Weighted 2'!$H$8)</f>
        <v>#REF!</v>
      </c>
      <c r="M135" s="16" t="e">
        <f>(Central!#REF!*'Weighted 2'!$F$8)+(Step!#REF!*'Weighted 2'!$G$8)+(Slow!#REF!*'Weighted 2'!$H$8)</f>
        <v>#REF!</v>
      </c>
      <c r="N135" s="16" t="e">
        <f>(Central!#REF!*'Weighted 2'!$F$8)+(Step!#REF!*'Weighted 2'!$G$8)+(Slow!#REF!*'Weighted 2'!$H$8)</f>
        <v>#REF!</v>
      </c>
      <c r="O135" s="16" t="e">
        <f>(Central!#REF!*'Weighted 2'!$F$8)+(Step!#REF!*'Weighted 2'!$G$8)+(Slow!#REF!*'Weighted 2'!$H$8)</f>
        <v>#REF!</v>
      </c>
      <c r="P135" s="16" t="e">
        <f>(Central!#REF!*'Weighted 2'!$F$8)+(Step!#REF!*'Weighted 2'!$G$8)+(Slow!#REF!*'Weighted 2'!$H$8)</f>
        <v>#REF!</v>
      </c>
      <c r="Q135" s="16" t="e">
        <f>(Central!#REF!*'Weighted 2'!$F$8)+(Step!#REF!*'Weighted 2'!$G$8)+(Slow!#REF!*'Weighted 2'!$H$8)</f>
        <v>#REF!</v>
      </c>
      <c r="R135" s="16" t="e">
        <f>(Central!#REF!*'Weighted 2'!$F$8)+(Step!#REF!*'Weighted 2'!$G$8)+(Slow!#REF!*'Weighted 2'!$H$8)</f>
        <v>#REF!</v>
      </c>
      <c r="S135" s="16" t="e">
        <f>(Central!#REF!*'Weighted 2'!$F$8)+(Step!#REF!*'Weighted 2'!$G$8)+(Slow!#REF!*'Weighted 2'!$H$8)</f>
        <v>#REF!</v>
      </c>
      <c r="T135" s="16" t="e">
        <f>(Central!#REF!*'Weighted 2'!$F$8)+(Step!#REF!*'Weighted 2'!$G$8)+(Slow!#REF!*'Weighted 2'!$H$8)</f>
        <v>#REF!</v>
      </c>
      <c r="U135" s="16" t="e">
        <f>(Central!#REF!*'Weighted 2'!$F$8)+(Step!#REF!*'Weighted 2'!$G$8)+(Slow!#REF!*'Weighted 2'!$H$8)</f>
        <v>#REF!</v>
      </c>
      <c r="V135" s="16" t="e">
        <f>(Central!#REF!*'Weighted 2'!$F$8)+(Step!#REF!*'Weighted 2'!$G$8)+(Slow!#REF!*'Weighted 2'!$H$8)</f>
        <v>#REF!</v>
      </c>
      <c r="W135" s="16" t="e">
        <f>(Central!#REF!*'Weighted 2'!$F$8)+(Step!#REF!*'Weighted 2'!$G$8)+(Slow!#REF!*'Weighted 2'!$H$8)</f>
        <v>#REF!</v>
      </c>
      <c r="X135" s="16" t="e">
        <f>(Central!#REF!*'Weighted 2'!$F$8)+(Step!#REF!*'Weighted 2'!$G$8)+(Slow!#REF!*'Weighted 2'!$H$8)</f>
        <v>#REF!</v>
      </c>
      <c r="Y135" s="16" t="e">
        <f>(Central!#REF!*'Weighted 2'!$F$8)+(Step!#REF!*'Weighted 2'!$G$8)+(Slow!#REF!*'Weighted 2'!$H$8)</f>
        <v>#REF!</v>
      </c>
      <c r="Z135" s="16" t="e">
        <f>(Central!#REF!*'Weighted 2'!$F$8)+(Step!#REF!*'Weighted 2'!$G$8)+(Slow!#REF!*'Weighted 2'!$H$8)</f>
        <v>#REF!</v>
      </c>
      <c r="AA135" s="16" t="e">
        <f>(Central!#REF!*'Weighted 2'!$F$8)+(Step!#REF!*'Weighted 2'!$G$8)+(Slow!#REF!*'Weighted 2'!$H$8)</f>
        <v>#REF!</v>
      </c>
      <c r="AB135" s="16" t="e">
        <f>(Central!#REF!*'Weighted 2'!$F$8)+(Step!#REF!*'Weighted 2'!$G$8)+(Slow!#REF!*'Weighted 2'!$H$8)</f>
        <v>#REF!</v>
      </c>
      <c r="AC135" s="16" t="e">
        <f>(Central!#REF!*'Weighted 2'!$F$8)+(Step!#REF!*'Weighted 2'!$G$8)+(Slow!#REF!*'Weighted 2'!$H$8)</f>
        <v>#REF!</v>
      </c>
      <c r="AD135" s="16" t="e">
        <f>(Central!#REF!*'Weighted 2'!$F$8)+(Step!#REF!*'Weighted 2'!$G$8)+(Slow!#REF!*'Weighted 2'!$H$8)</f>
        <v>#REF!</v>
      </c>
      <c r="AE135" s="16" t="e">
        <f>(Central!#REF!*'Weighted 2'!$F$8)+(Step!#REF!*'Weighted 2'!$G$8)+(Slow!#REF!*'Weighted 2'!$H$8)</f>
        <v>#REF!</v>
      </c>
      <c r="AF135" s="16" t="e">
        <f>(Central!#REF!*'Weighted 2'!$F$8)+(Step!#REF!*'Weighted 2'!$G$8)+(Slow!#REF!*'Weighted 2'!$H$8)</f>
        <v>#REF!</v>
      </c>
    </row>
    <row r="136" spans="2:32" x14ac:dyDescent="0.2">
      <c r="B136" s="172" t="e">
        <f>+'Option inputs'!#REF!</f>
        <v>#REF!</v>
      </c>
      <c r="C136" s="13" t="e">
        <f>+'Option inputs'!#REF!</f>
        <v>#REF!</v>
      </c>
      <c r="D136" s="164"/>
      <c r="E136" s="173" t="s">
        <v>35</v>
      </c>
      <c r="F136" s="17" t="e">
        <f>Central!#REF!*'Weighted 2'!$F$8+Step!#REF!*'Weighted 2'!$G$8+Slow!#REF!*'Weighted 2'!$H$8</f>
        <v>#REF!</v>
      </c>
      <c r="G136" s="16" t="e">
        <f>(Central!#REF!*'Weighted 2'!$F$8)+(Step!#REF!*'Weighted 2'!$G$8)+(Slow!#REF!*'Weighted 2'!$H$8)</f>
        <v>#REF!</v>
      </c>
      <c r="H136" s="16" t="e">
        <f>(Central!#REF!*'Weighted 2'!$F$8)+(Step!#REF!*'Weighted 2'!$G$8)+(Slow!#REF!*'Weighted 2'!$H$8)</f>
        <v>#REF!</v>
      </c>
      <c r="I136" s="16" t="e">
        <f>(Central!#REF!*'Weighted 2'!$F$8)+(Step!#REF!*'Weighted 2'!$G$8)+(Slow!#REF!*'Weighted 2'!$H$8)</f>
        <v>#REF!</v>
      </c>
      <c r="J136" s="16" t="e">
        <f>(Central!#REF!*'Weighted 2'!$F$8)+(Step!#REF!*'Weighted 2'!$G$8)+(Slow!#REF!*'Weighted 2'!$H$8)</f>
        <v>#REF!</v>
      </c>
      <c r="K136" s="16" t="e">
        <f>(Central!#REF!*'Weighted 2'!$F$8)+(Step!#REF!*'Weighted 2'!$G$8)+(Slow!#REF!*'Weighted 2'!$H$8)</f>
        <v>#REF!</v>
      </c>
      <c r="L136" s="16" t="e">
        <f>(Central!#REF!*'Weighted 2'!$F$8)+(Step!#REF!*'Weighted 2'!$G$8)+(Slow!#REF!*'Weighted 2'!$H$8)</f>
        <v>#REF!</v>
      </c>
      <c r="M136" s="16" t="e">
        <f>(Central!#REF!*'Weighted 2'!$F$8)+(Step!#REF!*'Weighted 2'!$G$8)+(Slow!#REF!*'Weighted 2'!$H$8)</f>
        <v>#REF!</v>
      </c>
      <c r="N136" s="16" t="e">
        <f>(Central!#REF!*'Weighted 2'!$F$8)+(Step!#REF!*'Weighted 2'!$G$8)+(Slow!#REF!*'Weighted 2'!$H$8)</f>
        <v>#REF!</v>
      </c>
      <c r="O136" s="16" t="e">
        <f>(Central!#REF!*'Weighted 2'!$F$8)+(Step!#REF!*'Weighted 2'!$G$8)+(Slow!#REF!*'Weighted 2'!$H$8)</f>
        <v>#REF!</v>
      </c>
      <c r="P136" s="16" t="e">
        <f>(Central!#REF!*'Weighted 2'!$F$8)+(Step!#REF!*'Weighted 2'!$G$8)+(Slow!#REF!*'Weighted 2'!$H$8)</f>
        <v>#REF!</v>
      </c>
      <c r="Q136" s="16" t="e">
        <f>(Central!#REF!*'Weighted 2'!$F$8)+(Step!#REF!*'Weighted 2'!$G$8)+(Slow!#REF!*'Weighted 2'!$H$8)</f>
        <v>#REF!</v>
      </c>
      <c r="R136" s="16" t="e">
        <f>(Central!#REF!*'Weighted 2'!$F$8)+(Step!#REF!*'Weighted 2'!$G$8)+(Slow!#REF!*'Weighted 2'!$H$8)</f>
        <v>#REF!</v>
      </c>
      <c r="S136" s="16" t="e">
        <f>(Central!#REF!*'Weighted 2'!$F$8)+(Step!#REF!*'Weighted 2'!$G$8)+(Slow!#REF!*'Weighted 2'!$H$8)</f>
        <v>#REF!</v>
      </c>
      <c r="T136" s="16" t="e">
        <f>(Central!#REF!*'Weighted 2'!$F$8)+(Step!#REF!*'Weighted 2'!$G$8)+(Slow!#REF!*'Weighted 2'!$H$8)</f>
        <v>#REF!</v>
      </c>
      <c r="U136" s="16" t="e">
        <f>(Central!#REF!*'Weighted 2'!$F$8)+(Step!#REF!*'Weighted 2'!$G$8)+(Slow!#REF!*'Weighted 2'!$H$8)</f>
        <v>#REF!</v>
      </c>
      <c r="V136" s="16" t="e">
        <f>(Central!#REF!*'Weighted 2'!$F$8)+(Step!#REF!*'Weighted 2'!$G$8)+(Slow!#REF!*'Weighted 2'!$H$8)</f>
        <v>#REF!</v>
      </c>
      <c r="W136" s="16" t="e">
        <f>(Central!#REF!*'Weighted 2'!$F$8)+(Step!#REF!*'Weighted 2'!$G$8)+(Slow!#REF!*'Weighted 2'!$H$8)</f>
        <v>#REF!</v>
      </c>
      <c r="X136" s="16" t="e">
        <f>(Central!#REF!*'Weighted 2'!$F$8)+(Step!#REF!*'Weighted 2'!$G$8)+(Slow!#REF!*'Weighted 2'!$H$8)</f>
        <v>#REF!</v>
      </c>
      <c r="Y136" s="16" t="e">
        <f>(Central!#REF!*'Weighted 2'!$F$8)+(Step!#REF!*'Weighted 2'!$G$8)+(Slow!#REF!*'Weighted 2'!$H$8)</f>
        <v>#REF!</v>
      </c>
      <c r="Z136" s="16" t="e">
        <f>(Central!#REF!*'Weighted 2'!$F$8)+(Step!#REF!*'Weighted 2'!$G$8)+(Slow!#REF!*'Weighted 2'!$H$8)</f>
        <v>#REF!</v>
      </c>
      <c r="AA136" s="16" t="e">
        <f>(Central!#REF!*'Weighted 2'!$F$8)+(Step!#REF!*'Weighted 2'!$G$8)+(Slow!#REF!*'Weighted 2'!$H$8)</f>
        <v>#REF!</v>
      </c>
      <c r="AB136" s="16" t="e">
        <f>(Central!#REF!*'Weighted 2'!$F$8)+(Step!#REF!*'Weighted 2'!$G$8)+(Slow!#REF!*'Weighted 2'!$H$8)</f>
        <v>#REF!</v>
      </c>
      <c r="AC136" s="16" t="e">
        <f>(Central!#REF!*'Weighted 2'!$F$8)+(Step!#REF!*'Weighted 2'!$G$8)+(Slow!#REF!*'Weighted 2'!$H$8)</f>
        <v>#REF!</v>
      </c>
      <c r="AD136" s="16" t="e">
        <f>(Central!#REF!*'Weighted 2'!$F$8)+(Step!#REF!*'Weighted 2'!$G$8)+(Slow!#REF!*'Weighted 2'!$H$8)</f>
        <v>#REF!</v>
      </c>
      <c r="AE136" s="16" t="e">
        <f>(Central!#REF!*'Weighted 2'!$F$8)+(Step!#REF!*'Weighted 2'!$G$8)+(Slow!#REF!*'Weighted 2'!$H$8)</f>
        <v>#REF!</v>
      </c>
      <c r="AF136" s="16" t="e">
        <f>(Central!#REF!*'Weighted 2'!$F$8)+(Step!#REF!*'Weighted 2'!$G$8)+(Slow!#REF!*'Weighted 2'!$H$8)</f>
        <v>#REF!</v>
      </c>
    </row>
    <row r="137" spans="2:32" x14ac:dyDescent="0.2">
      <c r="B137" s="172" t="e">
        <f>+'Option inputs'!#REF!</f>
        <v>#REF!</v>
      </c>
      <c r="C137" s="13" t="e">
        <f>+'Option inputs'!#REF!</f>
        <v>#REF!</v>
      </c>
      <c r="D137" s="164"/>
      <c r="E137" s="173" t="s">
        <v>35</v>
      </c>
      <c r="F137" s="17" t="e">
        <f>Central!#REF!*'Weighted 2'!$F$8+Step!#REF!*'Weighted 2'!$G$8+Slow!#REF!*'Weighted 2'!$H$8</f>
        <v>#REF!</v>
      </c>
      <c r="G137" s="16" t="e">
        <f>(Central!#REF!*'Weighted 2'!$F$8)+(Step!#REF!*'Weighted 2'!$G$8)+(Slow!#REF!*'Weighted 2'!$H$8)</f>
        <v>#REF!</v>
      </c>
      <c r="H137" s="16" t="e">
        <f>(Central!#REF!*'Weighted 2'!$F$8)+(Step!#REF!*'Weighted 2'!$G$8)+(Slow!#REF!*'Weighted 2'!$H$8)</f>
        <v>#REF!</v>
      </c>
      <c r="I137" s="16" t="e">
        <f>(Central!#REF!*'Weighted 2'!$F$8)+(Step!#REF!*'Weighted 2'!$G$8)+(Slow!#REF!*'Weighted 2'!$H$8)</f>
        <v>#REF!</v>
      </c>
      <c r="J137" s="16" t="e">
        <f>(Central!#REF!*'Weighted 2'!$F$8)+(Step!#REF!*'Weighted 2'!$G$8)+(Slow!#REF!*'Weighted 2'!$H$8)</f>
        <v>#REF!</v>
      </c>
      <c r="K137" s="16" t="e">
        <f>(Central!#REF!*'Weighted 2'!$F$8)+(Step!#REF!*'Weighted 2'!$G$8)+(Slow!#REF!*'Weighted 2'!$H$8)</f>
        <v>#REF!</v>
      </c>
      <c r="L137" s="16" t="e">
        <f>(Central!#REF!*'Weighted 2'!$F$8)+(Step!#REF!*'Weighted 2'!$G$8)+(Slow!#REF!*'Weighted 2'!$H$8)</f>
        <v>#REF!</v>
      </c>
      <c r="M137" s="16" t="e">
        <f>(Central!#REF!*'Weighted 2'!$F$8)+(Step!#REF!*'Weighted 2'!$G$8)+(Slow!#REF!*'Weighted 2'!$H$8)</f>
        <v>#REF!</v>
      </c>
      <c r="N137" s="16" t="e">
        <f>(Central!#REF!*'Weighted 2'!$F$8)+(Step!#REF!*'Weighted 2'!$G$8)+(Slow!#REF!*'Weighted 2'!$H$8)</f>
        <v>#REF!</v>
      </c>
      <c r="O137" s="16" t="e">
        <f>(Central!#REF!*'Weighted 2'!$F$8)+(Step!#REF!*'Weighted 2'!$G$8)+(Slow!#REF!*'Weighted 2'!$H$8)</f>
        <v>#REF!</v>
      </c>
      <c r="P137" s="16" t="e">
        <f>(Central!#REF!*'Weighted 2'!$F$8)+(Step!#REF!*'Weighted 2'!$G$8)+(Slow!#REF!*'Weighted 2'!$H$8)</f>
        <v>#REF!</v>
      </c>
      <c r="Q137" s="16" t="e">
        <f>(Central!#REF!*'Weighted 2'!$F$8)+(Step!#REF!*'Weighted 2'!$G$8)+(Slow!#REF!*'Weighted 2'!$H$8)</f>
        <v>#REF!</v>
      </c>
      <c r="R137" s="16" t="e">
        <f>(Central!#REF!*'Weighted 2'!$F$8)+(Step!#REF!*'Weighted 2'!$G$8)+(Slow!#REF!*'Weighted 2'!$H$8)</f>
        <v>#REF!</v>
      </c>
      <c r="S137" s="16" t="e">
        <f>(Central!#REF!*'Weighted 2'!$F$8)+(Step!#REF!*'Weighted 2'!$G$8)+(Slow!#REF!*'Weighted 2'!$H$8)</f>
        <v>#REF!</v>
      </c>
      <c r="T137" s="16" t="e">
        <f>(Central!#REF!*'Weighted 2'!$F$8)+(Step!#REF!*'Weighted 2'!$G$8)+(Slow!#REF!*'Weighted 2'!$H$8)</f>
        <v>#REF!</v>
      </c>
      <c r="U137" s="16" t="e">
        <f>(Central!#REF!*'Weighted 2'!$F$8)+(Step!#REF!*'Weighted 2'!$G$8)+(Slow!#REF!*'Weighted 2'!$H$8)</f>
        <v>#REF!</v>
      </c>
      <c r="V137" s="16" t="e">
        <f>(Central!#REF!*'Weighted 2'!$F$8)+(Step!#REF!*'Weighted 2'!$G$8)+(Slow!#REF!*'Weighted 2'!$H$8)</f>
        <v>#REF!</v>
      </c>
      <c r="W137" s="16" t="e">
        <f>(Central!#REF!*'Weighted 2'!$F$8)+(Step!#REF!*'Weighted 2'!$G$8)+(Slow!#REF!*'Weighted 2'!$H$8)</f>
        <v>#REF!</v>
      </c>
      <c r="X137" s="16" t="e">
        <f>(Central!#REF!*'Weighted 2'!$F$8)+(Step!#REF!*'Weighted 2'!$G$8)+(Slow!#REF!*'Weighted 2'!$H$8)</f>
        <v>#REF!</v>
      </c>
      <c r="Y137" s="16" t="e">
        <f>(Central!#REF!*'Weighted 2'!$F$8)+(Step!#REF!*'Weighted 2'!$G$8)+(Slow!#REF!*'Weighted 2'!$H$8)</f>
        <v>#REF!</v>
      </c>
      <c r="Z137" s="16" t="e">
        <f>(Central!#REF!*'Weighted 2'!$F$8)+(Step!#REF!*'Weighted 2'!$G$8)+(Slow!#REF!*'Weighted 2'!$H$8)</f>
        <v>#REF!</v>
      </c>
      <c r="AA137" s="16" t="e">
        <f>(Central!#REF!*'Weighted 2'!$F$8)+(Step!#REF!*'Weighted 2'!$G$8)+(Slow!#REF!*'Weighted 2'!$H$8)</f>
        <v>#REF!</v>
      </c>
      <c r="AB137" s="16" t="e">
        <f>(Central!#REF!*'Weighted 2'!$F$8)+(Step!#REF!*'Weighted 2'!$G$8)+(Slow!#REF!*'Weighted 2'!$H$8)</f>
        <v>#REF!</v>
      </c>
      <c r="AC137" s="16" t="e">
        <f>(Central!#REF!*'Weighted 2'!$F$8)+(Step!#REF!*'Weighted 2'!$G$8)+(Slow!#REF!*'Weighted 2'!$H$8)</f>
        <v>#REF!</v>
      </c>
      <c r="AD137" s="16" t="e">
        <f>(Central!#REF!*'Weighted 2'!$F$8)+(Step!#REF!*'Weighted 2'!$G$8)+(Slow!#REF!*'Weighted 2'!$H$8)</f>
        <v>#REF!</v>
      </c>
      <c r="AE137" s="16" t="e">
        <f>(Central!#REF!*'Weighted 2'!$F$8)+(Step!#REF!*'Weighted 2'!$G$8)+(Slow!#REF!*'Weighted 2'!$H$8)</f>
        <v>#REF!</v>
      </c>
      <c r="AF137" s="16" t="e">
        <f>(Central!#REF!*'Weighted 2'!$F$8)+(Step!#REF!*'Weighted 2'!$G$8)+(Slow!#REF!*'Weighted 2'!$H$8)</f>
        <v>#REF!</v>
      </c>
    </row>
    <row r="138" spans="2:32" x14ac:dyDescent="0.2">
      <c r="B138" s="161"/>
      <c r="C138" s="165"/>
      <c r="D138" s="165"/>
      <c r="E138" s="161"/>
      <c r="F138" s="126"/>
    </row>
    <row r="139" spans="2:32" ht="15.75" x14ac:dyDescent="0.25">
      <c r="B139" s="166" t="str">
        <f>+'CBA Inputs'!B302</f>
        <v>Costs for non RIT-T proponent parties</v>
      </c>
      <c r="C139" s="167"/>
      <c r="D139" s="167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</row>
    <row r="140" spans="2:32" ht="15.75" x14ac:dyDescent="0.25">
      <c r="B140" s="168" t="s">
        <v>14</v>
      </c>
      <c r="C140" s="169" t="s">
        <v>13</v>
      </c>
      <c r="D140" s="169"/>
      <c r="E140" s="170" t="s">
        <v>22</v>
      </c>
      <c r="F140" s="170" t="s">
        <v>37</v>
      </c>
      <c r="G140" s="171" t="str">
        <f>G$55</f>
        <v>FY 2020-21</v>
      </c>
      <c r="H140" s="171" t="str">
        <f t="shared" ref="H140:AF140" si="22">H$55</f>
        <v>FY 2021-22</v>
      </c>
      <c r="I140" s="171" t="str">
        <f t="shared" si="22"/>
        <v>FY 2022-23</v>
      </c>
      <c r="J140" s="171" t="str">
        <f t="shared" si="22"/>
        <v>FY 2023-24</v>
      </c>
      <c r="K140" s="171" t="str">
        <f t="shared" si="22"/>
        <v>FY 2024-25</v>
      </c>
      <c r="L140" s="171" t="str">
        <f t="shared" si="22"/>
        <v>FY 2025-26</v>
      </c>
      <c r="M140" s="171" t="str">
        <f t="shared" si="22"/>
        <v>FY 2026-27</v>
      </c>
      <c r="N140" s="171" t="str">
        <f t="shared" si="22"/>
        <v>FY 2027-28</v>
      </c>
      <c r="O140" s="171" t="str">
        <f t="shared" si="22"/>
        <v>FY 2028-29</v>
      </c>
      <c r="P140" s="171" t="str">
        <f t="shared" si="22"/>
        <v>FY 2029-30</v>
      </c>
      <c r="Q140" s="171" t="str">
        <f t="shared" si="22"/>
        <v>FY 2030-31</v>
      </c>
      <c r="R140" s="171" t="str">
        <f t="shared" si="22"/>
        <v>FY 2031-32</v>
      </c>
      <c r="S140" s="171" t="str">
        <f t="shared" si="22"/>
        <v>FY 2032-33</v>
      </c>
      <c r="T140" s="171" t="str">
        <f t="shared" si="22"/>
        <v>FY 2033-34</v>
      </c>
      <c r="U140" s="171" t="str">
        <f t="shared" si="22"/>
        <v>FY 2034-35</v>
      </c>
      <c r="V140" s="171" t="str">
        <f t="shared" si="22"/>
        <v>FY 2035-36</v>
      </c>
      <c r="W140" s="171" t="str">
        <f t="shared" si="22"/>
        <v>FY 2036-37</v>
      </c>
      <c r="X140" s="171" t="str">
        <f t="shared" si="22"/>
        <v>FY 2037-38</v>
      </c>
      <c r="Y140" s="171" t="str">
        <f t="shared" si="22"/>
        <v>FY 2038-39</v>
      </c>
      <c r="Z140" s="171" t="str">
        <f t="shared" si="22"/>
        <v>FY 2039-40</v>
      </c>
      <c r="AA140" s="171" t="str">
        <f t="shared" si="22"/>
        <v>FY 2040-41</v>
      </c>
      <c r="AB140" s="171" t="str">
        <f t="shared" si="22"/>
        <v>FY 2041-42</v>
      </c>
      <c r="AC140" s="171" t="str">
        <f t="shared" si="22"/>
        <v>FY 2042-43</v>
      </c>
      <c r="AD140" s="171" t="str">
        <f t="shared" si="22"/>
        <v>FY 2043-44</v>
      </c>
      <c r="AE140" s="171" t="str">
        <f t="shared" si="22"/>
        <v>FY 2044-45</v>
      </c>
      <c r="AF140" s="171" t="str">
        <f t="shared" si="22"/>
        <v>FY 2045-46</v>
      </c>
    </row>
    <row r="141" spans="2:32" x14ac:dyDescent="0.2">
      <c r="B141" s="172">
        <f>+'Option inputs'!$B$15</f>
        <v>1</v>
      </c>
      <c r="C141" s="13" t="str">
        <f>+'Option inputs'!$C$15</f>
        <v>Option 1A</v>
      </c>
      <c r="D141" s="164"/>
      <c r="E141" s="173" t="s">
        <v>35</v>
      </c>
      <c r="F141" s="17">
        <f>Central!F123*'Weighted 2'!$F$8+Step!F123*'Weighted 2'!$G$8+Slow!F123*'Weighted 2'!$H$8</f>
        <v>82058470.240150467</v>
      </c>
      <c r="G141" s="16">
        <f>(Central!G123*'Weighted 2'!$F$8)+(Step!G123*'Weighted 2'!$G$8)+(Slow!G123*'Weighted 2'!$H$8)</f>
        <v>0</v>
      </c>
      <c r="H141" s="16">
        <f>(Central!H123*'Weighted 2'!$F$8)+(Step!H123*'Weighted 2'!$G$8)+(Slow!H123*'Weighted 2'!$H$8)</f>
        <v>14407287.181288421</v>
      </c>
      <c r="I141" s="16">
        <f>(Central!I123*'Weighted 2'!$F$8)+(Step!I123*'Weighted 2'!$G$8)+(Slow!I123*'Weighted 2'!$H$8)</f>
        <v>40931055.168152064</v>
      </c>
      <c r="J141" s="16">
        <f>(Central!J123*'Weighted 2'!$F$8)+(Step!J123*'Weighted 2'!$G$8)+(Slow!J123*'Weighted 2'!$H$8)</f>
        <v>25749534.495231181</v>
      </c>
      <c r="K141" s="16">
        <f>(Central!K123*'Weighted 2'!$F$8)+(Step!K123*'Weighted 2'!$G$8)+(Slow!K123*'Weighted 2'!$H$8)</f>
        <v>-7426284.6189323664</v>
      </c>
      <c r="L141" s="16">
        <f>(Central!L123*'Weighted 2'!$F$8)+(Step!L123*'Weighted 2'!$G$8)+(Slow!L123*'Weighted 2'!$H$8)</f>
        <v>3213858.9679071903</v>
      </c>
      <c r="M141" s="16">
        <f>(Central!M123*'Weighted 2'!$F$8)+(Step!M123*'Weighted 2'!$G$8)+(Slow!M123*'Weighted 2'!$H$8)</f>
        <v>140921786.76941907</v>
      </c>
      <c r="N141" s="16">
        <f>(Central!N123*'Weighted 2'!$F$8)+(Step!N123*'Weighted 2'!$G$8)+(Slow!N123*'Weighted 2'!$H$8)</f>
        <v>-52369607.775641769</v>
      </c>
      <c r="O141" s="16">
        <f>(Central!O123*'Weighted 2'!$F$8)+(Step!O123*'Weighted 2'!$G$8)+(Slow!O123*'Weighted 2'!$H$8)</f>
        <v>-16652703.461810112</v>
      </c>
      <c r="P141" s="16">
        <f>(Central!P123*'Weighted 2'!$F$8)+(Step!P123*'Weighted 2'!$G$8)+(Slow!P123*'Weighted 2'!$H$8)</f>
        <v>-73677565.754003167</v>
      </c>
      <c r="Q141" s="16">
        <f>(Central!Q123*'Weighted 2'!$F$8)+(Step!Q123*'Weighted 2'!$G$8)+(Slow!Q123*'Weighted 2'!$H$8)</f>
        <v>-130224955.04165792</v>
      </c>
      <c r="R141" s="16">
        <f>(Central!R123*'Weighted 2'!$F$8)+(Step!R123*'Weighted 2'!$G$8)+(Slow!R123*'Weighted 2'!$H$8)</f>
        <v>-2156441.996824652</v>
      </c>
      <c r="S141" s="16">
        <f>(Central!S123*'Weighted 2'!$F$8)+(Step!S123*'Weighted 2'!$G$8)+(Slow!S123*'Weighted 2'!$H$8)</f>
        <v>164013469.11999294</v>
      </c>
      <c r="T141" s="16">
        <f>(Central!T123*'Weighted 2'!$F$8)+(Step!T123*'Weighted 2'!$G$8)+(Slow!T123*'Weighted 2'!$H$8)</f>
        <v>-35619103.628076673</v>
      </c>
      <c r="U141" s="16">
        <f>(Central!U123*'Weighted 2'!$F$8)+(Step!U123*'Weighted 2'!$G$8)+(Slow!U123*'Weighted 2'!$H$8)</f>
        <v>22564394.336457908</v>
      </c>
      <c r="V141" s="16">
        <f>(Central!V123*'Weighted 2'!$F$8)+(Step!V123*'Weighted 2'!$G$8)+(Slow!V123*'Weighted 2'!$H$8)</f>
        <v>23245502.683769524</v>
      </c>
      <c r="W141" s="16">
        <f>(Central!W123*'Weighted 2'!$F$8)+(Step!W123*'Weighted 2'!$G$8)+(Slow!W123*'Weighted 2'!$H$8)</f>
        <v>10264382.051582456</v>
      </c>
      <c r="X141" s="16">
        <f>(Central!X123*'Weighted 2'!$F$8)+(Step!X123*'Weighted 2'!$G$8)+(Slow!X123*'Weighted 2'!$H$8)</f>
        <v>19409880.381161213</v>
      </c>
      <c r="Y141" s="16">
        <f>(Central!Y123*'Weighted 2'!$F$8)+(Step!Y123*'Weighted 2'!$G$8)+(Slow!Y123*'Weighted 2'!$H$8)</f>
        <v>-25468616.188975811</v>
      </c>
      <c r="Z141" s="16">
        <f>(Central!Z123*'Weighted 2'!$F$8)+(Step!Z123*'Weighted 2'!$G$8)+(Slow!Z123*'Weighted 2'!$H$8)</f>
        <v>15003587.557566702</v>
      </c>
      <c r="AA141" s="16">
        <f>(Central!AA123*'Weighted 2'!$F$8)+(Step!AA123*'Weighted 2'!$G$8)+(Slow!AA123*'Weighted 2'!$H$8)</f>
        <v>-21646145.189142346</v>
      </c>
      <c r="AB141" s="16">
        <f>(Central!AB123*'Weighted 2'!$F$8)+(Step!AB123*'Weighted 2'!$G$8)+(Slow!AB123*'Weighted 2'!$H$8)</f>
        <v>-10947905.695452571</v>
      </c>
      <c r="AC141" s="16">
        <f>(Central!AC123*'Weighted 2'!$F$8)+(Step!AC123*'Weighted 2'!$G$8)+(Slow!AC123*'Weighted 2'!$H$8)</f>
        <v>13418541.950280666</v>
      </c>
      <c r="AD141" s="16">
        <f>(Central!AD123*'Weighted 2'!$F$8)+(Step!AD123*'Weighted 2'!$G$8)+(Slow!AD123*'Weighted 2'!$H$8)</f>
        <v>-9894579.8343396485</v>
      </c>
      <c r="AE141" s="16">
        <f>(Central!AE123*'Weighted 2'!$F$8)+(Step!AE123*'Weighted 2'!$G$8)+(Slow!AE123*'Weighted 2'!$H$8)</f>
        <v>-3083889.377669394</v>
      </c>
      <c r="AF141" s="16">
        <f>(Central!AF123*'Weighted 2'!$F$8)+(Step!AF123*'Weighted 2'!$G$8)+(Slow!AF123*'Weighted 2'!$H$8)</f>
        <v>-1142474.0371334553</v>
      </c>
    </row>
    <row r="142" spans="2:32" x14ac:dyDescent="0.2">
      <c r="B142" s="172">
        <f>+'Option inputs'!$B$16</f>
        <v>2</v>
      </c>
      <c r="C142" s="13" t="str">
        <f>+'Option inputs'!$C$16</f>
        <v>Option 1B</v>
      </c>
      <c r="D142" s="164"/>
      <c r="E142" s="173" t="s">
        <v>35</v>
      </c>
      <c r="F142" s="17">
        <f>Central!F124*'Weighted 2'!$F$8+Step!F124*'Weighted 2'!$G$8+Slow!F124*'Weighted 2'!$H$8</f>
        <v>82058470.240150467</v>
      </c>
      <c r="G142" s="16">
        <f>(Central!G124*'Weighted 2'!$F$8)+(Step!G124*'Weighted 2'!$G$8)+(Slow!G124*'Weighted 2'!$H$8)</f>
        <v>0</v>
      </c>
      <c r="H142" s="16">
        <f>(Central!H124*'Weighted 2'!$F$8)+(Step!H124*'Weighted 2'!$G$8)+(Slow!H124*'Weighted 2'!$H$8)</f>
        <v>14407287.181288421</v>
      </c>
      <c r="I142" s="16">
        <f>(Central!I124*'Weighted 2'!$F$8)+(Step!I124*'Weighted 2'!$G$8)+(Slow!I124*'Weighted 2'!$H$8)</f>
        <v>40931055.168152064</v>
      </c>
      <c r="J142" s="16">
        <f>(Central!J124*'Weighted 2'!$F$8)+(Step!J124*'Weighted 2'!$G$8)+(Slow!J124*'Weighted 2'!$H$8)</f>
        <v>25749534.495231181</v>
      </c>
      <c r="K142" s="16">
        <f>(Central!K124*'Weighted 2'!$F$8)+(Step!K124*'Weighted 2'!$G$8)+(Slow!K124*'Weighted 2'!$H$8)</f>
        <v>-7426284.6189323664</v>
      </c>
      <c r="L142" s="16">
        <f>(Central!L124*'Weighted 2'!$F$8)+(Step!L124*'Weighted 2'!$G$8)+(Slow!L124*'Weighted 2'!$H$8)</f>
        <v>3213858.9679071903</v>
      </c>
      <c r="M142" s="16">
        <f>(Central!M124*'Weighted 2'!$F$8)+(Step!M124*'Weighted 2'!$G$8)+(Slow!M124*'Weighted 2'!$H$8)</f>
        <v>140921786.76941907</v>
      </c>
      <c r="N142" s="16">
        <f>(Central!N124*'Weighted 2'!$F$8)+(Step!N124*'Weighted 2'!$G$8)+(Slow!N124*'Weighted 2'!$H$8)</f>
        <v>-52369607.775641769</v>
      </c>
      <c r="O142" s="16">
        <f>(Central!O124*'Weighted 2'!$F$8)+(Step!O124*'Weighted 2'!$G$8)+(Slow!O124*'Weighted 2'!$H$8)</f>
        <v>-16652703.461810112</v>
      </c>
      <c r="P142" s="16">
        <f>(Central!P124*'Weighted 2'!$F$8)+(Step!P124*'Weighted 2'!$G$8)+(Slow!P124*'Weighted 2'!$H$8)</f>
        <v>-73677565.754003167</v>
      </c>
      <c r="Q142" s="16">
        <f>(Central!Q124*'Weighted 2'!$F$8)+(Step!Q124*'Weighted 2'!$G$8)+(Slow!Q124*'Weighted 2'!$H$8)</f>
        <v>-130224955.04165792</v>
      </c>
      <c r="R142" s="16">
        <f>(Central!R124*'Weighted 2'!$F$8)+(Step!R124*'Weighted 2'!$G$8)+(Slow!R124*'Weighted 2'!$H$8)</f>
        <v>-2156441.996824652</v>
      </c>
      <c r="S142" s="16">
        <f>(Central!S124*'Weighted 2'!$F$8)+(Step!S124*'Weighted 2'!$G$8)+(Slow!S124*'Weighted 2'!$H$8)</f>
        <v>164013469.11999294</v>
      </c>
      <c r="T142" s="16">
        <f>(Central!T124*'Weighted 2'!$F$8)+(Step!T124*'Weighted 2'!$G$8)+(Slow!T124*'Weighted 2'!$H$8)</f>
        <v>-35619103.628076673</v>
      </c>
      <c r="U142" s="16">
        <f>(Central!U124*'Weighted 2'!$F$8)+(Step!U124*'Weighted 2'!$G$8)+(Slow!U124*'Weighted 2'!$H$8)</f>
        <v>22564394.336457908</v>
      </c>
      <c r="V142" s="16">
        <f>(Central!V124*'Weighted 2'!$F$8)+(Step!V124*'Weighted 2'!$G$8)+(Slow!V124*'Weighted 2'!$H$8)</f>
        <v>23245502.683769524</v>
      </c>
      <c r="W142" s="16">
        <f>(Central!W124*'Weighted 2'!$F$8)+(Step!W124*'Weighted 2'!$G$8)+(Slow!W124*'Weighted 2'!$H$8)</f>
        <v>10264382.051582456</v>
      </c>
      <c r="X142" s="16">
        <f>(Central!X124*'Weighted 2'!$F$8)+(Step!X124*'Weighted 2'!$G$8)+(Slow!X124*'Weighted 2'!$H$8)</f>
        <v>19409880.381161213</v>
      </c>
      <c r="Y142" s="16">
        <f>(Central!Y124*'Weighted 2'!$F$8)+(Step!Y124*'Weighted 2'!$G$8)+(Slow!Y124*'Weighted 2'!$H$8)</f>
        <v>-25468616.188975811</v>
      </c>
      <c r="Z142" s="16">
        <f>(Central!Z124*'Weighted 2'!$F$8)+(Step!Z124*'Weighted 2'!$G$8)+(Slow!Z124*'Weighted 2'!$H$8)</f>
        <v>15003587.557566702</v>
      </c>
      <c r="AA142" s="16">
        <f>(Central!AA124*'Weighted 2'!$F$8)+(Step!AA124*'Weighted 2'!$G$8)+(Slow!AA124*'Weighted 2'!$H$8)</f>
        <v>-21646145.189142346</v>
      </c>
      <c r="AB142" s="16">
        <f>(Central!AB124*'Weighted 2'!$F$8)+(Step!AB124*'Weighted 2'!$G$8)+(Slow!AB124*'Weighted 2'!$H$8)</f>
        <v>-10947905.695452571</v>
      </c>
      <c r="AC142" s="16">
        <f>(Central!AC124*'Weighted 2'!$F$8)+(Step!AC124*'Weighted 2'!$G$8)+(Slow!AC124*'Weighted 2'!$H$8)</f>
        <v>13418541.950280666</v>
      </c>
      <c r="AD142" s="16">
        <f>(Central!AD124*'Weighted 2'!$F$8)+(Step!AD124*'Weighted 2'!$G$8)+(Slow!AD124*'Weighted 2'!$H$8)</f>
        <v>-9894579.8343396485</v>
      </c>
      <c r="AE142" s="16">
        <f>(Central!AE124*'Weighted 2'!$F$8)+(Step!AE124*'Weighted 2'!$G$8)+(Slow!AE124*'Weighted 2'!$H$8)</f>
        <v>-3083889.377669394</v>
      </c>
      <c r="AF142" s="16">
        <f>(Central!AF124*'Weighted 2'!$F$8)+(Step!AF124*'Weighted 2'!$G$8)+(Slow!AF124*'Weighted 2'!$H$8)</f>
        <v>-1142474.0371334553</v>
      </c>
    </row>
    <row r="143" spans="2:32" x14ac:dyDescent="0.2">
      <c r="B143" s="172">
        <f>+'Option inputs'!$B$17</f>
        <v>3</v>
      </c>
      <c r="C143" s="13" t="str">
        <f>+'Option inputs'!$C$17</f>
        <v>Option 2</v>
      </c>
      <c r="D143" s="164"/>
      <c r="E143" s="173" t="s">
        <v>35</v>
      </c>
      <c r="F143" s="17">
        <f>Central!F125*'Weighted 2'!$F$8+Step!F125*'Weighted 2'!$G$8+Slow!F125*'Weighted 2'!$H$8</f>
        <v>87739931.841666043</v>
      </c>
      <c r="G143" s="16">
        <f>(Central!G125*'Weighted 2'!$F$8)+(Step!G125*'Weighted 2'!$G$8)+(Slow!G125*'Weighted 2'!$H$8)</f>
        <v>0</v>
      </c>
      <c r="H143" s="16">
        <f>(Central!H125*'Weighted 2'!$F$8)+(Step!H125*'Weighted 2'!$G$8)+(Slow!H125*'Weighted 2'!$H$8)</f>
        <v>14600333.716064841</v>
      </c>
      <c r="I143" s="16">
        <f>(Central!I125*'Weighted 2'!$F$8)+(Step!I125*'Weighted 2'!$G$8)+(Slow!I125*'Weighted 2'!$H$8)</f>
        <v>42381752.514728129</v>
      </c>
      <c r="J143" s="16">
        <f>(Central!J125*'Weighted 2'!$F$8)+(Step!J125*'Weighted 2'!$G$8)+(Slow!J125*'Weighted 2'!$H$8)</f>
        <v>25747967.245095104</v>
      </c>
      <c r="K143" s="16">
        <f>(Central!K125*'Weighted 2'!$F$8)+(Step!K125*'Weighted 2'!$G$8)+(Slow!K125*'Weighted 2'!$H$8)</f>
        <v>-7350685.7343705893</v>
      </c>
      <c r="L143" s="16">
        <f>(Central!L125*'Weighted 2'!$F$8)+(Step!L125*'Weighted 2'!$G$8)+(Slow!L125*'Weighted 2'!$H$8)</f>
        <v>4770302.629131496</v>
      </c>
      <c r="M143" s="16">
        <f>(Central!M125*'Weighted 2'!$F$8)+(Step!M125*'Weighted 2'!$G$8)+(Slow!M125*'Weighted 2'!$H$8)</f>
        <v>143160912.34788799</v>
      </c>
      <c r="N143" s="16">
        <f>(Central!N125*'Weighted 2'!$F$8)+(Step!N125*'Weighted 2'!$G$8)+(Slow!N125*'Weighted 2'!$H$8)</f>
        <v>-53412885.961172551</v>
      </c>
      <c r="O143" s="16">
        <f>(Central!O125*'Weighted 2'!$F$8)+(Step!O125*'Weighted 2'!$G$8)+(Slow!O125*'Weighted 2'!$H$8)</f>
        <v>-12720402.689654708</v>
      </c>
      <c r="P143" s="16">
        <f>(Central!P125*'Weighted 2'!$F$8)+(Step!P125*'Weighted 2'!$G$8)+(Slow!P125*'Weighted 2'!$H$8)</f>
        <v>-75077540.371249825</v>
      </c>
      <c r="Q143" s="16">
        <f>(Central!Q125*'Weighted 2'!$F$8)+(Step!Q125*'Weighted 2'!$G$8)+(Slow!Q125*'Weighted 2'!$H$8)</f>
        <v>-134155384.00604776</v>
      </c>
      <c r="R143" s="16">
        <f>(Central!R125*'Weighted 2'!$F$8)+(Step!R125*'Weighted 2'!$G$8)+(Slow!R125*'Weighted 2'!$H$8)</f>
        <v>-2027736.5500015318</v>
      </c>
      <c r="S143" s="16">
        <f>(Central!S125*'Weighted 2'!$F$8)+(Step!S125*'Weighted 2'!$G$8)+(Slow!S125*'Weighted 2'!$H$8)</f>
        <v>166992642.1114251</v>
      </c>
      <c r="T143" s="16">
        <f>(Central!T125*'Weighted 2'!$F$8)+(Step!T125*'Weighted 2'!$G$8)+(Slow!T125*'Weighted 2'!$H$8)</f>
        <v>-33148945.887886554</v>
      </c>
      <c r="U143" s="16">
        <f>(Central!U125*'Weighted 2'!$F$8)+(Step!U125*'Weighted 2'!$G$8)+(Slow!U125*'Weighted 2'!$H$8)</f>
        <v>22037551.818955332</v>
      </c>
      <c r="V143" s="16">
        <f>(Central!V125*'Weighted 2'!$F$8)+(Step!V125*'Weighted 2'!$G$8)+(Slow!V125*'Weighted 2'!$H$8)</f>
        <v>20861858.026273668</v>
      </c>
      <c r="W143" s="16">
        <f>(Central!W125*'Weighted 2'!$F$8)+(Step!W125*'Weighted 2'!$G$8)+(Slow!W125*'Weighted 2'!$H$8)</f>
        <v>13099835.982155442</v>
      </c>
      <c r="X143" s="16">
        <f>(Central!X125*'Weighted 2'!$F$8)+(Step!X125*'Weighted 2'!$G$8)+(Slow!X125*'Weighted 2'!$H$8)</f>
        <v>22133917.38728857</v>
      </c>
      <c r="Y143" s="16">
        <f>(Central!Y125*'Weighted 2'!$F$8)+(Step!Y125*'Weighted 2'!$G$8)+(Slow!Y125*'Weighted 2'!$H$8)</f>
        <v>-28488011.932357907</v>
      </c>
      <c r="Z143" s="16">
        <f>(Central!Z125*'Weighted 2'!$F$8)+(Step!Z125*'Weighted 2'!$G$8)+(Slow!Z125*'Weighted 2'!$H$8)</f>
        <v>18424467.114509314</v>
      </c>
      <c r="AA143" s="16">
        <f>(Central!AA125*'Weighted 2'!$F$8)+(Step!AA125*'Weighted 2'!$G$8)+(Slow!AA125*'Weighted 2'!$H$8)</f>
        <v>-23158616.14732933</v>
      </c>
      <c r="AB143" s="16">
        <f>(Central!AB125*'Weighted 2'!$F$8)+(Step!AB125*'Weighted 2'!$G$8)+(Slow!AB125*'Weighted 2'!$H$8)</f>
        <v>-11689909.685083032</v>
      </c>
      <c r="AC143" s="16">
        <f>(Central!AC125*'Weighted 2'!$F$8)+(Step!AC125*'Weighted 2'!$G$8)+(Slow!AC125*'Weighted 2'!$H$8)</f>
        <v>10241079.878172636</v>
      </c>
      <c r="AD143" s="16">
        <f>(Central!AD125*'Weighted 2'!$F$8)+(Step!AD125*'Weighted 2'!$G$8)+(Slow!AD125*'Weighted 2'!$H$8)</f>
        <v>-7330528.7715848982</v>
      </c>
      <c r="AE143" s="16">
        <f>(Central!AE125*'Weighted 2'!$F$8)+(Step!AE125*'Weighted 2'!$G$8)+(Slow!AE125*'Weighted 2'!$H$8)</f>
        <v>-2657994.4572294056</v>
      </c>
      <c r="AF143" s="16">
        <f>(Central!AF125*'Weighted 2'!$F$8)+(Step!AF125*'Weighted 2'!$G$8)+(Slow!AF125*'Weighted 2'!$H$8)</f>
        <v>-848949.409283638</v>
      </c>
    </row>
    <row r="144" spans="2:32" x14ac:dyDescent="0.2">
      <c r="B144" s="172">
        <f>+'Option inputs'!$B$18</f>
        <v>4</v>
      </c>
      <c r="C144" s="13" t="str">
        <f>+'Option inputs'!$C$18</f>
        <v>Option 3</v>
      </c>
      <c r="D144" s="164"/>
      <c r="E144" s="173" t="s">
        <v>35</v>
      </c>
      <c r="F144" s="17">
        <f>Central!F126*'Weighted 2'!$F$8+Step!F126*'Weighted 2'!$G$8+Slow!F126*'Weighted 2'!$H$8</f>
        <v>26379385.944878243</v>
      </c>
      <c r="G144" s="16">
        <f>(Central!G126*'Weighted 2'!$F$8)+(Step!G126*'Weighted 2'!$G$8)+(Slow!G126*'Weighted 2'!$H$8)</f>
        <v>0</v>
      </c>
      <c r="H144" s="16">
        <f>(Central!H126*'Weighted 2'!$F$8)+(Step!H126*'Weighted 2'!$G$8)+(Slow!H126*'Weighted 2'!$H$8)</f>
        <v>3603321.7975875139</v>
      </c>
      <c r="I144" s="16">
        <f>(Central!I126*'Weighted 2'!$F$8)+(Step!I126*'Weighted 2'!$G$8)+(Slow!I126*'Weighted 2'!$H$8)</f>
        <v>-3756319.9845479429</v>
      </c>
      <c r="J144" s="16">
        <f>(Central!J126*'Weighted 2'!$F$8)+(Step!J126*'Weighted 2'!$G$8)+(Slow!J126*'Weighted 2'!$H$8)</f>
        <v>16734523.887645334</v>
      </c>
      <c r="K144" s="16">
        <f>(Central!K126*'Weighted 2'!$F$8)+(Step!K126*'Weighted 2'!$G$8)+(Slow!K126*'Weighted 2'!$H$8)</f>
        <v>1379580.1467388272</v>
      </c>
      <c r="L144" s="16">
        <f>(Central!L126*'Weighted 2'!$F$8)+(Step!L126*'Weighted 2'!$G$8)+(Slow!L126*'Weighted 2'!$H$8)</f>
        <v>-1578.4511874318123</v>
      </c>
      <c r="M144" s="16">
        <f>(Central!M126*'Weighted 2'!$F$8)+(Step!M126*'Weighted 2'!$G$8)+(Slow!M126*'Weighted 2'!$H$8)</f>
        <v>24646018.473897994</v>
      </c>
      <c r="N144" s="16">
        <f>(Central!N126*'Weighted 2'!$F$8)+(Step!N126*'Weighted 2'!$G$8)+(Slow!N126*'Weighted 2'!$H$8)</f>
        <v>-9973927.7850813568</v>
      </c>
      <c r="O144" s="16">
        <f>(Central!O126*'Weighted 2'!$F$8)+(Step!O126*'Weighted 2'!$G$8)+(Slow!O126*'Weighted 2'!$H$8)</f>
        <v>-9640768.9949686527</v>
      </c>
      <c r="P144" s="16">
        <f>(Central!P126*'Weighted 2'!$F$8)+(Step!P126*'Weighted 2'!$G$8)+(Slow!P126*'Weighted 2'!$H$8)</f>
        <v>2820525.5080812573</v>
      </c>
      <c r="Q144" s="16">
        <f>(Central!Q126*'Weighted 2'!$F$8)+(Step!Q126*'Weighted 2'!$G$8)+(Slow!Q126*'Weighted 2'!$H$8)</f>
        <v>-12355572.41383487</v>
      </c>
      <c r="R144" s="16">
        <f>(Central!R126*'Weighted 2'!$F$8)+(Step!R126*'Weighted 2'!$G$8)+(Slow!R126*'Weighted 2'!$H$8)</f>
        <v>-1347407.3014535606</v>
      </c>
      <c r="S144" s="16">
        <f>(Central!S126*'Weighted 2'!$F$8)+(Step!S126*'Weighted 2'!$G$8)+(Slow!S126*'Weighted 2'!$H$8)</f>
        <v>28403719.2200194</v>
      </c>
      <c r="T144" s="16">
        <f>(Central!T126*'Weighted 2'!$F$8)+(Step!T126*'Weighted 2'!$G$8)+(Slow!T126*'Weighted 2'!$H$8)</f>
        <v>1438.0066142678261</v>
      </c>
      <c r="U144" s="16">
        <f>(Central!U126*'Weighted 2'!$F$8)+(Step!U126*'Weighted 2'!$G$8)+(Slow!U126*'Weighted 2'!$H$8)</f>
        <v>5017262.2889198959</v>
      </c>
      <c r="V144" s="16">
        <f>(Central!V126*'Weighted 2'!$F$8)+(Step!V126*'Weighted 2'!$G$8)+(Slow!V126*'Weighted 2'!$H$8)</f>
        <v>-2266055.4086290598</v>
      </c>
      <c r="W144" s="16">
        <f>(Central!W126*'Weighted 2'!$F$8)+(Step!W126*'Weighted 2'!$G$8)+(Slow!W126*'Weighted 2'!$H$8)</f>
        <v>-3971253.2638620734</v>
      </c>
      <c r="X144" s="16">
        <f>(Central!X126*'Weighted 2'!$F$8)+(Step!X126*'Weighted 2'!$G$8)+(Slow!X126*'Weighted 2'!$H$8)</f>
        <v>6605491.2650117874</v>
      </c>
      <c r="Y144" s="16">
        <f>(Central!Y126*'Weighted 2'!$F$8)+(Step!Y126*'Weighted 2'!$G$8)+(Slow!Y126*'Weighted 2'!$H$8)</f>
        <v>-6776878.4861268997</v>
      </c>
      <c r="Z144" s="16">
        <f>(Central!Z126*'Weighted 2'!$F$8)+(Step!Z126*'Weighted 2'!$G$8)+(Slow!Z126*'Weighted 2'!$H$8)</f>
        <v>521418.93379274011</v>
      </c>
      <c r="AA144" s="16">
        <f>(Central!AA126*'Weighted 2'!$F$8)+(Step!AA126*'Weighted 2'!$G$8)+(Slow!AA126*'Weighted 2'!$H$8)</f>
        <v>-16537.922132492065</v>
      </c>
      <c r="AB144" s="16">
        <f>(Central!AB126*'Weighted 2'!$F$8)+(Step!AB126*'Weighted 2'!$G$8)+(Slow!AB126*'Weighted 2'!$H$8)</f>
        <v>-2201615.2129864693</v>
      </c>
      <c r="AC144" s="16">
        <f>(Central!AC126*'Weighted 2'!$F$8)+(Step!AC126*'Weighted 2'!$G$8)+(Slow!AC126*'Weighted 2'!$H$8)</f>
        <v>743805.73404192924</v>
      </c>
      <c r="AD144" s="16">
        <f>(Central!AD126*'Weighted 2'!$F$8)+(Step!AD126*'Weighted 2'!$G$8)+(Slow!AD126*'Weighted 2'!$H$8)</f>
        <v>595611.61872825027</v>
      </c>
      <c r="AE144" s="16">
        <f>(Central!AE126*'Weighted 2'!$F$8)+(Step!AE126*'Weighted 2'!$G$8)+(Slow!AE126*'Weighted 2'!$H$8)</f>
        <v>-200366.29152521491</v>
      </c>
      <c r="AF144" s="16">
        <f>(Central!AF126*'Weighted 2'!$F$8)+(Step!AF126*'Weighted 2'!$G$8)+(Slow!AF126*'Weighted 2'!$H$8)</f>
        <v>446816.07190975547</v>
      </c>
    </row>
    <row r="145" spans="2:32" x14ac:dyDescent="0.2">
      <c r="B145" s="172">
        <f>+'Option inputs'!$B$19</f>
        <v>5</v>
      </c>
      <c r="C145" s="13" t="str">
        <f>+'Option inputs'!$C$19</f>
        <v>Option 4</v>
      </c>
      <c r="D145" s="164"/>
      <c r="E145" s="173" t="s">
        <v>35</v>
      </c>
      <c r="F145" s="17">
        <f>Central!F127*'Weighted 2'!$F$8+Step!F127*'Weighted 2'!$G$8+Slow!F127*'Weighted 2'!$H$8</f>
        <v>0</v>
      </c>
      <c r="G145" s="16" t="e">
        <f>(Central!G127*'Weighted 2'!$F$8)+(Step!G127*'Weighted 2'!$G$8)+(Slow!G127*'Weighted 2'!$H$8)</f>
        <v>#VALUE!</v>
      </c>
      <c r="H145" s="16">
        <f>(Central!H127*'Weighted 2'!$F$8)+(Step!H127*'Weighted 2'!$G$8)+(Slow!H127*'Weighted 2'!$H$8)</f>
        <v>0</v>
      </c>
      <c r="I145" s="16">
        <f>(Central!I127*'Weighted 2'!$F$8)+(Step!I127*'Weighted 2'!$G$8)+(Slow!I127*'Weighted 2'!$H$8)</f>
        <v>0</v>
      </c>
      <c r="J145" s="16">
        <f>(Central!J127*'Weighted 2'!$F$8)+(Step!J127*'Weighted 2'!$G$8)+(Slow!J127*'Weighted 2'!$H$8)</f>
        <v>0</v>
      </c>
      <c r="K145" s="16">
        <f>(Central!K127*'Weighted 2'!$F$8)+(Step!K127*'Weighted 2'!$G$8)+(Slow!K127*'Weighted 2'!$H$8)</f>
        <v>0</v>
      </c>
      <c r="L145" s="16">
        <f>(Central!L127*'Weighted 2'!$F$8)+(Step!L127*'Weighted 2'!$G$8)+(Slow!L127*'Weighted 2'!$H$8)</f>
        <v>0</v>
      </c>
      <c r="M145" s="16">
        <f>(Central!M127*'Weighted 2'!$F$8)+(Step!M127*'Weighted 2'!$G$8)+(Slow!M127*'Weighted 2'!$H$8)</f>
        <v>0</v>
      </c>
      <c r="N145" s="16">
        <f>(Central!N127*'Weighted 2'!$F$8)+(Step!N127*'Weighted 2'!$G$8)+(Slow!N127*'Weighted 2'!$H$8)</f>
        <v>0</v>
      </c>
      <c r="O145" s="16">
        <f>(Central!O127*'Weighted 2'!$F$8)+(Step!O127*'Weighted 2'!$G$8)+(Slow!O127*'Weighted 2'!$H$8)</f>
        <v>0</v>
      </c>
      <c r="P145" s="16">
        <f>(Central!P127*'Weighted 2'!$F$8)+(Step!P127*'Weighted 2'!$G$8)+(Slow!P127*'Weighted 2'!$H$8)</f>
        <v>0</v>
      </c>
      <c r="Q145" s="16">
        <f>(Central!Q127*'Weighted 2'!$F$8)+(Step!Q127*'Weighted 2'!$G$8)+(Slow!Q127*'Weighted 2'!$H$8)</f>
        <v>0</v>
      </c>
      <c r="R145" s="16">
        <f>(Central!R127*'Weighted 2'!$F$8)+(Step!R127*'Weighted 2'!$G$8)+(Slow!R127*'Weighted 2'!$H$8)</f>
        <v>0</v>
      </c>
      <c r="S145" s="16">
        <f>(Central!S127*'Weighted 2'!$F$8)+(Step!S127*'Weighted 2'!$G$8)+(Slow!S127*'Weighted 2'!$H$8)</f>
        <v>0</v>
      </c>
      <c r="T145" s="16">
        <f>(Central!T127*'Weighted 2'!$F$8)+(Step!T127*'Weighted 2'!$G$8)+(Slow!T127*'Weighted 2'!$H$8)</f>
        <v>0</v>
      </c>
      <c r="U145" s="16">
        <f>(Central!U127*'Weighted 2'!$F$8)+(Step!U127*'Weighted 2'!$G$8)+(Slow!U127*'Weighted 2'!$H$8)</f>
        <v>0</v>
      </c>
      <c r="V145" s="16">
        <f>(Central!V127*'Weighted 2'!$F$8)+(Step!V127*'Weighted 2'!$G$8)+(Slow!V127*'Weighted 2'!$H$8)</f>
        <v>0</v>
      </c>
      <c r="W145" s="16">
        <f>(Central!W127*'Weighted 2'!$F$8)+(Step!W127*'Weighted 2'!$G$8)+(Slow!W127*'Weighted 2'!$H$8)</f>
        <v>0</v>
      </c>
      <c r="X145" s="16">
        <f>(Central!X127*'Weighted 2'!$F$8)+(Step!X127*'Weighted 2'!$G$8)+(Slow!X127*'Weighted 2'!$H$8)</f>
        <v>0</v>
      </c>
      <c r="Y145" s="16">
        <f>(Central!Y127*'Weighted 2'!$F$8)+(Step!Y127*'Weighted 2'!$G$8)+(Slow!Y127*'Weighted 2'!$H$8)</f>
        <v>0</v>
      </c>
      <c r="Z145" s="16">
        <f>(Central!Z127*'Weighted 2'!$F$8)+(Step!Z127*'Weighted 2'!$G$8)+(Slow!Z127*'Weighted 2'!$H$8)</f>
        <v>0</v>
      </c>
      <c r="AA145" s="16">
        <f>(Central!AA127*'Weighted 2'!$F$8)+(Step!AA127*'Weighted 2'!$G$8)+(Slow!AA127*'Weighted 2'!$H$8)</f>
        <v>0</v>
      </c>
      <c r="AB145" s="16">
        <f>(Central!AB127*'Weighted 2'!$F$8)+(Step!AB127*'Weighted 2'!$G$8)+(Slow!AB127*'Weighted 2'!$H$8)</f>
        <v>0</v>
      </c>
      <c r="AC145" s="16">
        <f>(Central!AC127*'Weighted 2'!$F$8)+(Step!AC127*'Weighted 2'!$G$8)+(Slow!AC127*'Weighted 2'!$H$8)</f>
        <v>0</v>
      </c>
      <c r="AD145" s="16">
        <f>(Central!AD127*'Weighted 2'!$F$8)+(Step!AD127*'Weighted 2'!$G$8)+(Slow!AD127*'Weighted 2'!$H$8)</f>
        <v>0</v>
      </c>
      <c r="AE145" s="16">
        <f>(Central!AE127*'Weighted 2'!$F$8)+(Step!AE127*'Weighted 2'!$G$8)+(Slow!AE127*'Weighted 2'!$H$8)</f>
        <v>0</v>
      </c>
      <c r="AF145" s="16">
        <f>(Central!AF127*'Weighted 2'!$F$8)+(Step!AF127*'Weighted 2'!$G$8)+(Slow!AF127*'Weighted 2'!$H$8)</f>
        <v>0</v>
      </c>
    </row>
    <row r="146" spans="2:32" x14ac:dyDescent="0.2">
      <c r="B146" s="172">
        <f>+'Option inputs'!$B$20</f>
        <v>6</v>
      </c>
      <c r="C146" s="13" t="str">
        <f>+'Option inputs'!$C$20</f>
        <v>Option 5</v>
      </c>
      <c r="D146" s="164"/>
      <c r="E146" s="173" t="s">
        <v>35</v>
      </c>
      <c r="F146" s="17">
        <f>Central!F128*'Weighted 2'!$F$8+Step!F128*'Weighted 2'!$G$8+Slow!F128*'Weighted 2'!$H$8</f>
        <v>0</v>
      </c>
      <c r="G146" s="16" t="e">
        <f>(Central!G128*'Weighted 2'!$F$8)+(Step!G128*'Weighted 2'!$G$8)+(Slow!G128*'Weighted 2'!$H$8)</f>
        <v>#VALUE!</v>
      </c>
      <c r="H146" s="16">
        <f>(Central!H128*'Weighted 2'!$F$8)+(Step!H128*'Weighted 2'!$G$8)+(Slow!H128*'Weighted 2'!$H$8)</f>
        <v>0</v>
      </c>
      <c r="I146" s="16">
        <f>(Central!I128*'Weighted 2'!$F$8)+(Step!I128*'Weighted 2'!$G$8)+(Slow!I128*'Weighted 2'!$H$8)</f>
        <v>0</v>
      </c>
      <c r="J146" s="16">
        <f>(Central!J128*'Weighted 2'!$F$8)+(Step!J128*'Weighted 2'!$G$8)+(Slow!J128*'Weighted 2'!$H$8)</f>
        <v>0</v>
      </c>
      <c r="K146" s="16">
        <f>(Central!K128*'Weighted 2'!$F$8)+(Step!K128*'Weighted 2'!$G$8)+(Slow!K128*'Weighted 2'!$H$8)</f>
        <v>0</v>
      </c>
      <c r="L146" s="16">
        <f>(Central!L128*'Weighted 2'!$F$8)+(Step!L128*'Weighted 2'!$G$8)+(Slow!L128*'Weighted 2'!$H$8)</f>
        <v>0</v>
      </c>
      <c r="M146" s="16">
        <f>(Central!M128*'Weighted 2'!$F$8)+(Step!M128*'Weighted 2'!$G$8)+(Slow!M128*'Weighted 2'!$H$8)</f>
        <v>0</v>
      </c>
      <c r="N146" s="16">
        <f>(Central!N128*'Weighted 2'!$F$8)+(Step!N128*'Weighted 2'!$G$8)+(Slow!N128*'Weighted 2'!$H$8)</f>
        <v>0</v>
      </c>
      <c r="O146" s="16">
        <f>(Central!O128*'Weighted 2'!$F$8)+(Step!O128*'Weighted 2'!$G$8)+(Slow!O128*'Weighted 2'!$H$8)</f>
        <v>0</v>
      </c>
      <c r="P146" s="16">
        <f>(Central!P128*'Weighted 2'!$F$8)+(Step!P128*'Weighted 2'!$G$8)+(Slow!P128*'Weighted 2'!$H$8)</f>
        <v>0</v>
      </c>
      <c r="Q146" s="16">
        <f>(Central!Q128*'Weighted 2'!$F$8)+(Step!Q128*'Weighted 2'!$G$8)+(Slow!Q128*'Weighted 2'!$H$8)</f>
        <v>0</v>
      </c>
      <c r="R146" s="16">
        <f>(Central!R128*'Weighted 2'!$F$8)+(Step!R128*'Weighted 2'!$G$8)+(Slow!R128*'Weighted 2'!$H$8)</f>
        <v>0</v>
      </c>
      <c r="S146" s="16">
        <f>(Central!S128*'Weighted 2'!$F$8)+(Step!S128*'Weighted 2'!$G$8)+(Slow!S128*'Weighted 2'!$H$8)</f>
        <v>0</v>
      </c>
      <c r="T146" s="16">
        <f>(Central!T128*'Weighted 2'!$F$8)+(Step!T128*'Weighted 2'!$G$8)+(Slow!T128*'Weighted 2'!$H$8)</f>
        <v>0</v>
      </c>
      <c r="U146" s="16">
        <f>(Central!U128*'Weighted 2'!$F$8)+(Step!U128*'Weighted 2'!$G$8)+(Slow!U128*'Weighted 2'!$H$8)</f>
        <v>0</v>
      </c>
      <c r="V146" s="16">
        <f>(Central!V128*'Weighted 2'!$F$8)+(Step!V128*'Weighted 2'!$G$8)+(Slow!V128*'Weighted 2'!$H$8)</f>
        <v>0</v>
      </c>
      <c r="W146" s="16">
        <f>(Central!W128*'Weighted 2'!$F$8)+(Step!W128*'Weighted 2'!$G$8)+(Slow!W128*'Weighted 2'!$H$8)</f>
        <v>0</v>
      </c>
      <c r="X146" s="16">
        <f>(Central!X128*'Weighted 2'!$F$8)+(Step!X128*'Weighted 2'!$G$8)+(Slow!X128*'Weighted 2'!$H$8)</f>
        <v>0</v>
      </c>
      <c r="Y146" s="16">
        <f>(Central!Y128*'Weighted 2'!$F$8)+(Step!Y128*'Weighted 2'!$G$8)+(Slow!Y128*'Weighted 2'!$H$8)</f>
        <v>0</v>
      </c>
      <c r="Z146" s="16">
        <f>(Central!Z128*'Weighted 2'!$F$8)+(Step!Z128*'Weighted 2'!$G$8)+(Slow!Z128*'Weighted 2'!$H$8)</f>
        <v>0</v>
      </c>
      <c r="AA146" s="16">
        <f>(Central!AA128*'Weighted 2'!$F$8)+(Step!AA128*'Weighted 2'!$G$8)+(Slow!AA128*'Weighted 2'!$H$8)</f>
        <v>0</v>
      </c>
      <c r="AB146" s="16">
        <f>(Central!AB128*'Weighted 2'!$F$8)+(Step!AB128*'Weighted 2'!$G$8)+(Slow!AB128*'Weighted 2'!$H$8)</f>
        <v>0</v>
      </c>
      <c r="AC146" s="16">
        <f>(Central!AC128*'Weighted 2'!$F$8)+(Step!AC128*'Weighted 2'!$G$8)+(Slow!AC128*'Weighted 2'!$H$8)</f>
        <v>0</v>
      </c>
      <c r="AD146" s="16">
        <f>(Central!AD128*'Weighted 2'!$F$8)+(Step!AD128*'Weighted 2'!$G$8)+(Slow!AD128*'Weighted 2'!$H$8)</f>
        <v>0</v>
      </c>
      <c r="AE146" s="16">
        <f>(Central!AE128*'Weighted 2'!$F$8)+(Step!AE128*'Weighted 2'!$G$8)+(Slow!AE128*'Weighted 2'!$H$8)</f>
        <v>0</v>
      </c>
      <c r="AF146" s="16">
        <f>(Central!AF128*'Weighted 2'!$F$8)+(Step!AF128*'Weighted 2'!$G$8)+(Slow!AF128*'Weighted 2'!$H$8)</f>
        <v>0</v>
      </c>
    </row>
    <row r="147" spans="2:32" x14ac:dyDescent="0.2">
      <c r="B147" s="172" t="e">
        <f>+'Option inputs'!#REF!</f>
        <v>#REF!</v>
      </c>
      <c r="C147" s="13" t="e">
        <f>+'Option inputs'!#REF!</f>
        <v>#REF!</v>
      </c>
      <c r="D147" s="164"/>
      <c r="E147" s="173" t="s">
        <v>35</v>
      </c>
      <c r="F147" s="17" t="e">
        <f>Central!#REF!*'Weighted 2'!$F$8+Step!#REF!*'Weighted 2'!$G$8+Slow!#REF!*'Weighted 2'!$H$8</f>
        <v>#REF!</v>
      </c>
      <c r="G147" s="16" t="e">
        <f>(Central!#REF!*'Weighted 2'!$F$8)+(Step!#REF!*'Weighted 2'!$G$8)+(Slow!#REF!*'Weighted 2'!$H$8)</f>
        <v>#REF!</v>
      </c>
      <c r="H147" s="16" t="e">
        <f>(Central!#REF!*'Weighted 2'!$F$8)+(Step!#REF!*'Weighted 2'!$G$8)+(Slow!#REF!*'Weighted 2'!$H$8)</f>
        <v>#REF!</v>
      </c>
      <c r="I147" s="16" t="e">
        <f>(Central!#REF!*'Weighted 2'!$F$8)+(Step!#REF!*'Weighted 2'!$G$8)+(Slow!#REF!*'Weighted 2'!$H$8)</f>
        <v>#REF!</v>
      </c>
      <c r="J147" s="16" t="e">
        <f>(Central!#REF!*'Weighted 2'!$F$8)+(Step!#REF!*'Weighted 2'!$G$8)+(Slow!#REF!*'Weighted 2'!$H$8)</f>
        <v>#REF!</v>
      </c>
      <c r="K147" s="16" t="e">
        <f>(Central!#REF!*'Weighted 2'!$F$8)+(Step!#REF!*'Weighted 2'!$G$8)+(Slow!#REF!*'Weighted 2'!$H$8)</f>
        <v>#REF!</v>
      </c>
      <c r="L147" s="16" t="e">
        <f>(Central!#REF!*'Weighted 2'!$F$8)+(Step!#REF!*'Weighted 2'!$G$8)+(Slow!#REF!*'Weighted 2'!$H$8)</f>
        <v>#REF!</v>
      </c>
      <c r="M147" s="16" t="e">
        <f>(Central!#REF!*'Weighted 2'!$F$8)+(Step!#REF!*'Weighted 2'!$G$8)+(Slow!#REF!*'Weighted 2'!$H$8)</f>
        <v>#REF!</v>
      </c>
      <c r="N147" s="16" t="e">
        <f>(Central!#REF!*'Weighted 2'!$F$8)+(Step!#REF!*'Weighted 2'!$G$8)+(Slow!#REF!*'Weighted 2'!$H$8)</f>
        <v>#REF!</v>
      </c>
      <c r="O147" s="16" t="e">
        <f>(Central!#REF!*'Weighted 2'!$F$8)+(Step!#REF!*'Weighted 2'!$G$8)+(Slow!#REF!*'Weighted 2'!$H$8)</f>
        <v>#REF!</v>
      </c>
      <c r="P147" s="16" t="e">
        <f>(Central!#REF!*'Weighted 2'!$F$8)+(Step!#REF!*'Weighted 2'!$G$8)+(Slow!#REF!*'Weighted 2'!$H$8)</f>
        <v>#REF!</v>
      </c>
      <c r="Q147" s="16" t="e">
        <f>(Central!#REF!*'Weighted 2'!$F$8)+(Step!#REF!*'Weighted 2'!$G$8)+(Slow!#REF!*'Weighted 2'!$H$8)</f>
        <v>#REF!</v>
      </c>
      <c r="R147" s="16" t="e">
        <f>(Central!#REF!*'Weighted 2'!$F$8)+(Step!#REF!*'Weighted 2'!$G$8)+(Slow!#REF!*'Weighted 2'!$H$8)</f>
        <v>#REF!</v>
      </c>
      <c r="S147" s="16" t="e">
        <f>(Central!#REF!*'Weighted 2'!$F$8)+(Step!#REF!*'Weighted 2'!$G$8)+(Slow!#REF!*'Weighted 2'!$H$8)</f>
        <v>#REF!</v>
      </c>
      <c r="T147" s="16" t="e">
        <f>(Central!#REF!*'Weighted 2'!$F$8)+(Step!#REF!*'Weighted 2'!$G$8)+(Slow!#REF!*'Weighted 2'!$H$8)</f>
        <v>#REF!</v>
      </c>
      <c r="U147" s="16" t="e">
        <f>(Central!#REF!*'Weighted 2'!$F$8)+(Step!#REF!*'Weighted 2'!$G$8)+(Slow!#REF!*'Weighted 2'!$H$8)</f>
        <v>#REF!</v>
      </c>
      <c r="V147" s="16" t="e">
        <f>(Central!#REF!*'Weighted 2'!$F$8)+(Step!#REF!*'Weighted 2'!$G$8)+(Slow!#REF!*'Weighted 2'!$H$8)</f>
        <v>#REF!</v>
      </c>
      <c r="W147" s="16" t="e">
        <f>(Central!#REF!*'Weighted 2'!$F$8)+(Step!#REF!*'Weighted 2'!$G$8)+(Slow!#REF!*'Weighted 2'!$H$8)</f>
        <v>#REF!</v>
      </c>
      <c r="X147" s="16" t="e">
        <f>(Central!#REF!*'Weighted 2'!$F$8)+(Step!#REF!*'Weighted 2'!$G$8)+(Slow!#REF!*'Weighted 2'!$H$8)</f>
        <v>#REF!</v>
      </c>
      <c r="Y147" s="16" t="e">
        <f>(Central!#REF!*'Weighted 2'!$F$8)+(Step!#REF!*'Weighted 2'!$G$8)+(Slow!#REF!*'Weighted 2'!$H$8)</f>
        <v>#REF!</v>
      </c>
      <c r="Z147" s="16" t="e">
        <f>(Central!#REF!*'Weighted 2'!$F$8)+(Step!#REF!*'Weighted 2'!$G$8)+(Slow!#REF!*'Weighted 2'!$H$8)</f>
        <v>#REF!</v>
      </c>
      <c r="AA147" s="16" t="e">
        <f>(Central!#REF!*'Weighted 2'!$F$8)+(Step!#REF!*'Weighted 2'!$G$8)+(Slow!#REF!*'Weighted 2'!$H$8)</f>
        <v>#REF!</v>
      </c>
      <c r="AB147" s="16" t="e">
        <f>(Central!#REF!*'Weighted 2'!$F$8)+(Step!#REF!*'Weighted 2'!$G$8)+(Slow!#REF!*'Weighted 2'!$H$8)</f>
        <v>#REF!</v>
      </c>
      <c r="AC147" s="16" t="e">
        <f>(Central!#REF!*'Weighted 2'!$F$8)+(Step!#REF!*'Weighted 2'!$G$8)+(Slow!#REF!*'Weighted 2'!$H$8)</f>
        <v>#REF!</v>
      </c>
      <c r="AD147" s="16" t="e">
        <f>(Central!#REF!*'Weighted 2'!$F$8)+(Step!#REF!*'Weighted 2'!$G$8)+(Slow!#REF!*'Weighted 2'!$H$8)</f>
        <v>#REF!</v>
      </c>
      <c r="AE147" s="16" t="e">
        <f>(Central!#REF!*'Weighted 2'!$F$8)+(Step!#REF!*'Weighted 2'!$G$8)+(Slow!#REF!*'Weighted 2'!$H$8)</f>
        <v>#REF!</v>
      </c>
      <c r="AF147" s="16" t="e">
        <f>(Central!#REF!*'Weighted 2'!$F$8)+(Step!#REF!*'Weighted 2'!$G$8)+(Slow!#REF!*'Weighted 2'!$H$8)</f>
        <v>#REF!</v>
      </c>
    </row>
    <row r="148" spans="2:32" x14ac:dyDescent="0.2">
      <c r="B148" s="172" t="e">
        <f>+'Option inputs'!#REF!</f>
        <v>#REF!</v>
      </c>
      <c r="C148" s="13" t="e">
        <f>+'Option inputs'!#REF!</f>
        <v>#REF!</v>
      </c>
      <c r="D148" s="164"/>
      <c r="E148" s="173" t="s">
        <v>35</v>
      </c>
      <c r="F148" s="17" t="e">
        <f>Central!#REF!*'Weighted 2'!$F$8+Step!#REF!*'Weighted 2'!$G$8+Slow!#REF!*'Weighted 2'!$H$8</f>
        <v>#REF!</v>
      </c>
      <c r="G148" s="16" t="e">
        <f>(Central!#REF!*'Weighted 2'!$F$8)+(Step!#REF!*'Weighted 2'!$G$8)+(Slow!#REF!*'Weighted 2'!$H$8)</f>
        <v>#REF!</v>
      </c>
      <c r="H148" s="16" t="e">
        <f>(Central!#REF!*'Weighted 2'!$F$8)+(Step!#REF!*'Weighted 2'!$G$8)+(Slow!#REF!*'Weighted 2'!$H$8)</f>
        <v>#REF!</v>
      </c>
      <c r="I148" s="16" t="e">
        <f>(Central!#REF!*'Weighted 2'!$F$8)+(Step!#REF!*'Weighted 2'!$G$8)+(Slow!#REF!*'Weighted 2'!$H$8)</f>
        <v>#REF!</v>
      </c>
      <c r="J148" s="16" t="e">
        <f>(Central!#REF!*'Weighted 2'!$F$8)+(Step!#REF!*'Weighted 2'!$G$8)+(Slow!#REF!*'Weighted 2'!$H$8)</f>
        <v>#REF!</v>
      </c>
      <c r="K148" s="16" t="e">
        <f>(Central!#REF!*'Weighted 2'!$F$8)+(Step!#REF!*'Weighted 2'!$G$8)+(Slow!#REF!*'Weighted 2'!$H$8)</f>
        <v>#REF!</v>
      </c>
      <c r="L148" s="16" t="e">
        <f>(Central!#REF!*'Weighted 2'!$F$8)+(Step!#REF!*'Weighted 2'!$G$8)+(Slow!#REF!*'Weighted 2'!$H$8)</f>
        <v>#REF!</v>
      </c>
      <c r="M148" s="16" t="e">
        <f>(Central!#REF!*'Weighted 2'!$F$8)+(Step!#REF!*'Weighted 2'!$G$8)+(Slow!#REF!*'Weighted 2'!$H$8)</f>
        <v>#REF!</v>
      </c>
      <c r="N148" s="16" t="e">
        <f>(Central!#REF!*'Weighted 2'!$F$8)+(Step!#REF!*'Weighted 2'!$G$8)+(Slow!#REF!*'Weighted 2'!$H$8)</f>
        <v>#REF!</v>
      </c>
      <c r="O148" s="16" t="e">
        <f>(Central!#REF!*'Weighted 2'!$F$8)+(Step!#REF!*'Weighted 2'!$G$8)+(Slow!#REF!*'Weighted 2'!$H$8)</f>
        <v>#REF!</v>
      </c>
      <c r="P148" s="16" t="e">
        <f>(Central!#REF!*'Weighted 2'!$F$8)+(Step!#REF!*'Weighted 2'!$G$8)+(Slow!#REF!*'Weighted 2'!$H$8)</f>
        <v>#REF!</v>
      </c>
      <c r="Q148" s="16" t="e">
        <f>(Central!#REF!*'Weighted 2'!$F$8)+(Step!#REF!*'Weighted 2'!$G$8)+(Slow!#REF!*'Weighted 2'!$H$8)</f>
        <v>#REF!</v>
      </c>
      <c r="R148" s="16" t="e">
        <f>(Central!#REF!*'Weighted 2'!$F$8)+(Step!#REF!*'Weighted 2'!$G$8)+(Slow!#REF!*'Weighted 2'!$H$8)</f>
        <v>#REF!</v>
      </c>
      <c r="S148" s="16" t="e">
        <f>(Central!#REF!*'Weighted 2'!$F$8)+(Step!#REF!*'Weighted 2'!$G$8)+(Slow!#REF!*'Weighted 2'!$H$8)</f>
        <v>#REF!</v>
      </c>
      <c r="T148" s="16" t="e">
        <f>(Central!#REF!*'Weighted 2'!$F$8)+(Step!#REF!*'Weighted 2'!$G$8)+(Slow!#REF!*'Weighted 2'!$H$8)</f>
        <v>#REF!</v>
      </c>
      <c r="U148" s="16" t="e">
        <f>(Central!#REF!*'Weighted 2'!$F$8)+(Step!#REF!*'Weighted 2'!$G$8)+(Slow!#REF!*'Weighted 2'!$H$8)</f>
        <v>#REF!</v>
      </c>
      <c r="V148" s="16" t="e">
        <f>(Central!#REF!*'Weighted 2'!$F$8)+(Step!#REF!*'Weighted 2'!$G$8)+(Slow!#REF!*'Weighted 2'!$H$8)</f>
        <v>#REF!</v>
      </c>
      <c r="W148" s="16" t="e">
        <f>(Central!#REF!*'Weighted 2'!$F$8)+(Step!#REF!*'Weighted 2'!$G$8)+(Slow!#REF!*'Weighted 2'!$H$8)</f>
        <v>#REF!</v>
      </c>
      <c r="X148" s="16" t="e">
        <f>(Central!#REF!*'Weighted 2'!$F$8)+(Step!#REF!*'Weighted 2'!$G$8)+(Slow!#REF!*'Weighted 2'!$H$8)</f>
        <v>#REF!</v>
      </c>
      <c r="Y148" s="16" t="e">
        <f>(Central!#REF!*'Weighted 2'!$F$8)+(Step!#REF!*'Weighted 2'!$G$8)+(Slow!#REF!*'Weighted 2'!$H$8)</f>
        <v>#REF!</v>
      </c>
      <c r="Z148" s="16" t="e">
        <f>(Central!#REF!*'Weighted 2'!$F$8)+(Step!#REF!*'Weighted 2'!$G$8)+(Slow!#REF!*'Weighted 2'!$H$8)</f>
        <v>#REF!</v>
      </c>
      <c r="AA148" s="16" t="e">
        <f>(Central!#REF!*'Weighted 2'!$F$8)+(Step!#REF!*'Weighted 2'!$G$8)+(Slow!#REF!*'Weighted 2'!$H$8)</f>
        <v>#REF!</v>
      </c>
      <c r="AB148" s="16" t="e">
        <f>(Central!#REF!*'Weighted 2'!$F$8)+(Step!#REF!*'Weighted 2'!$G$8)+(Slow!#REF!*'Weighted 2'!$H$8)</f>
        <v>#REF!</v>
      </c>
      <c r="AC148" s="16" t="e">
        <f>(Central!#REF!*'Weighted 2'!$F$8)+(Step!#REF!*'Weighted 2'!$G$8)+(Slow!#REF!*'Weighted 2'!$H$8)</f>
        <v>#REF!</v>
      </c>
      <c r="AD148" s="16" t="e">
        <f>(Central!#REF!*'Weighted 2'!$F$8)+(Step!#REF!*'Weighted 2'!$G$8)+(Slow!#REF!*'Weighted 2'!$H$8)</f>
        <v>#REF!</v>
      </c>
      <c r="AE148" s="16" t="e">
        <f>(Central!#REF!*'Weighted 2'!$F$8)+(Step!#REF!*'Weighted 2'!$G$8)+(Slow!#REF!*'Weighted 2'!$H$8)</f>
        <v>#REF!</v>
      </c>
      <c r="AF148" s="16" t="e">
        <f>(Central!#REF!*'Weighted 2'!$F$8)+(Step!#REF!*'Weighted 2'!$G$8)+(Slow!#REF!*'Weighted 2'!$H$8)</f>
        <v>#REF!</v>
      </c>
    </row>
    <row r="149" spans="2:32" x14ac:dyDescent="0.2">
      <c r="B149" s="172" t="e">
        <f>+'Option inputs'!#REF!</f>
        <v>#REF!</v>
      </c>
      <c r="C149" s="13" t="e">
        <f>+'Option inputs'!#REF!</f>
        <v>#REF!</v>
      </c>
      <c r="D149" s="164"/>
      <c r="E149" s="173" t="s">
        <v>35</v>
      </c>
      <c r="F149" s="17" t="e">
        <f>Central!#REF!*'Weighted 2'!$F$8+Step!#REF!*'Weighted 2'!$G$8+Slow!#REF!*'Weighted 2'!$H$8</f>
        <v>#REF!</v>
      </c>
      <c r="G149" s="16" t="e">
        <f>(Central!#REF!*'Weighted 2'!$F$8)+(Step!#REF!*'Weighted 2'!$G$8)+(Slow!#REF!*'Weighted 2'!$H$8)</f>
        <v>#REF!</v>
      </c>
      <c r="H149" s="16" t="e">
        <f>(Central!#REF!*'Weighted 2'!$F$8)+(Step!#REF!*'Weighted 2'!$G$8)+(Slow!#REF!*'Weighted 2'!$H$8)</f>
        <v>#REF!</v>
      </c>
      <c r="I149" s="16" t="e">
        <f>(Central!#REF!*'Weighted 2'!$F$8)+(Step!#REF!*'Weighted 2'!$G$8)+(Slow!#REF!*'Weighted 2'!$H$8)</f>
        <v>#REF!</v>
      </c>
      <c r="J149" s="16" t="e">
        <f>(Central!#REF!*'Weighted 2'!$F$8)+(Step!#REF!*'Weighted 2'!$G$8)+(Slow!#REF!*'Weighted 2'!$H$8)</f>
        <v>#REF!</v>
      </c>
      <c r="K149" s="16" t="e">
        <f>(Central!#REF!*'Weighted 2'!$F$8)+(Step!#REF!*'Weighted 2'!$G$8)+(Slow!#REF!*'Weighted 2'!$H$8)</f>
        <v>#REF!</v>
      </c>
      <c r="L149" s="16" t="e">
        <f>(Central!#REF!*'Weighted 2'!$F$8)+(Step!#REF!*'Weighted 2'!$G$8)+(Slow!#REF!*'Weighted 2'!$H$8)</f>
        <v>#REF!</v>
      </c>
      <c r="M149" s="16" t="e">
        <f>(Central!#REF!*'Weighted 2'!$F$8)+(Step!#REF!*'Weighted 2'!$G$8)+(Slow!#REF!*'Weighted 2'!$H$8)</f>
        <v>#REF!</v>
      </c>
      <c r="N149" s="16" t="e">
        <f>(Central!#REF!*'Weighted 2'!$F$8)+(Step!#REF!*'Weighted 2'!$G$8)+(Slow!#REF!*'Weighted 2'!$H$8)</f>
        <v>#REF!</v>
      </c>
      <c r="O149" s="16" t="e">
        <f>(Central!#REF!*'Weighted 2'!$F$8)+(Step!#REF!*'Weighted 2'!$G$8)+(Slow!#REF!*'Weighted 2'!$H$8)</f>
        <v>#REF!</v>
      </c>
      <c r="P149" s="16" t="e">
        <f>(Central!#REF!*'Weighted 2'!$F$8)+(Step!#REF!*'Weighted 2'!$G$8)+(Slow!#REF!*'Weighted 2'!$H$8)</f>
        <v>#REF!</v>
      </c>
      <c r="Q149" s="16" t="e">
        <f>(Central!#REF!*'Weighted 2'!$F$8)+(Step!#REF!*'Weighted 2'!$G$8)+(Slow!#REF!*'Weighted 2'!$H$8)</f>
        <v>#REF!</v>
      </c>
      <c r="R149" s="16" t="e">
        <f>(Central!#REF!*'Weighted 2'!$F$8)+(Step!#REF!*'Weighted 2'!$G$8)+(Slow!#REF!*'Weighted 2'!$H$8)</f>
        <v>#REF!</v>
      </c>
      <c r="S149" s="16" t="e">
        <f>(Central!#REF!*'Weighted 2'!$F$8)+(Step!#REF!*'Weighted 2'!$G$8)+(Slow!#REF!*'Weighted 2'!$H$8)</f>
        <v>#REF!</v>
      </c>
      <c r="T149" s="16" t="e">
        <f>(Central!#REF!*'Weighted 2'!$F$8)+(Step!#REF!*'Weighted 2'!$G$8)+(Slow!#REF!*'Weighted 2'!$H$8)</f>
        <v>#REF!</v>
      </c>
      <c r="U149" s="16" t="e">
        <f>(Central!#REF!*'Weighted 2'!$F$8)+(Step!#REF!*'Weighted 2'!$G$8)+(Slow!#REF!*'Weighted 2'!$H$8)</f>
        <v>#REF!</v>
      </c>
      <c r="V149" s="16" t="e">
        <f>(Central!#REF!*'Weighted 2'!$F$8)+(Step!#REF!*'Weighted 2'!$G$8)+(Slow!#REF!*'Weighted 2'!$H$8)</f>
        <v>#REF!</v>
      </c>
      <c r="W149" s="16" t="e">
        <f>(Central!#REF!*'Weighted 2'!$F$8)+(Step!#REF!*'Weighted 2'!$G$8)+(Slow!#REF!*'Weighted 2'!$H$8)</f>
        <v>#REF!</v>
      </c>
      <c r="X149" s="16" t="e">
        <f>(Central!#REF!*'Weighted 2'!$F$8)+(Step!#REF!*'Weighted 2'!$G$8)+(Slow!#REF!*'Weighted 2'!$H$8)</f>
        <v>#REF!</v>
      </c>
      <c r="Y149" s="16" t="e">
        <f>(Central!#REF!*'Weighted 2'!$F$8)+(Step!#REF!*'Weighted 2'!$G$8)+(Slow!#REF!*'Weighted 2'!$H$8)</f>
        <v>#REF!</v>
      </c>
      <c r="Z149" s="16" t="e">
        <f>(Central!#REF!*'Weighted 2'!$F$8)+(Step!#REF!*'Weighted 2'!$G$8)+(Slow!#REF!*'Weighted 2'!$H$8)</f>
        <v>#REF!</v>
      </c>
      <c r="AA149" s="16" t="e">
        <f>(Central!#REF!*'Weighted 2'!$F$8)+(Step!#REF!*'Weighted 2'!$G$8)+(Slow!#REF!*'Weighted 2'!$H$8)</f>
        <v>#REF!</v>
      </c>
      <c r="AB149" s="16" t="e">
        <f>(Central!#REF!*'Weighted 2'!$F$8)+(Step!#REF!*'Weighted 2'!$G$8)+(Slow!#REF!*'Weighted 2'!$H$8)</f>
        <v>#REF!</v>
      </c>
      <c r="AC149" s="16" t="e">
        <f>(Central!#REF!*'Weighted 2'!$F$8)+(Step!#REF!*'Weighted 2'!$G$8)+(Slow!#REF!*'Weighted 2'!$H$8)</f>
        <v>#REF!</v>
      </c>
      <c r="AD149" s="16" t="e">
        <f>(Central!#REF!*'Weighted 2'!$F$8)+(Step!#REF!*'Weighted 2'!$G$8)+(Slow!#REF!*'Weighted 2'!$H$8)</f>
        <v>#REF!</v>
      </c>
      <c r="AE149" s="16" t="e">
        <f>(Central!#REF!*'Weighted 2'!$F$8)+(Step!#REF!*'Weighted 2'!$G$8)+(Slow!#REF!*'Weighted 2'!$H$8)</f>
        <v>#REF!</v>
      </c>
      <c r="AF149" s="16" t="e">
        <f>(Central!#REF!*'Weighted 2'!$F$8)+(Step!#REF!*'Weighted 2'!$G$8)+(Slow!#REF!*'Weighted 2'!$H$8)</f>
        <v>#REF!</v>
      </c>
    </row>
    <row r="150" spans="2:32" x14ac:dyDescent="0.2">
      <c r="B150" s="172" t="e">
        <f>+'Option inputs'!#REF!</f>
        <v>#REF!</v>
      </c>
      <c r="C150" s="13" t="e">
        <f>+'Option inputs'!#REF!</f>
        <v>#REF!</v>
      </c>
      <c r="D150" s="164"/>
      <c r="E150" s="173" t="s">
        <v>35</v>
      </c>
      <c r="F150" s="17" t="e">
        <f>Central!#REF!*'Weighted 2'!$F$8+Step!#REF!*'Weighted 2'!$G$8+Slow!#REF!*'Weighted 2'!$H$8</f>
        <v>#REF!</v>
      </c>
      <c r="G150" s="16" t="e">
        <f>(Central!#REF!*'Weighted 2'!$F$8)+(Step!#REF!*'Weighted 2'!$G$8)+(Slow!#REF!*'Weighted 2'!$H$8)</f>
        <v>#REF!</v>
      </c>
      <c r="H150" s="16" t="e">
        <f>(Central!#REF!*'Weighted 2'!$F$8)+(Step!#REF!*'Weighted 2'!$G$8)+(Slow!#REF!*'Weighted 2'!$H$8)</f>
        <v>#REF!</v>
      </c>
      <c r="I150" s="16" t="e">
        <f>(Central!#REF!*'Weighted 2'!$F$8)+(Step!#REF!*'Weighted 2'!$G$8)+(Slow!#REF!*'Weighted 2'!$H$8)</f>
        <v>#REF!</v>
      </c>
      <c r="J150" s="16" t="e">
        <f>(Central!#REF!*'Weighted 2'!$F$8)+(Step!#REF!*'Weighted 2'!$G$8)+(Slow!#REF!*'Weighted 2'!$H$8)</f>
        <v>#REF!</v>
      </c>
      <c r="K150" s="16" t="e">
        <f>(Central!#REF!*'Weighted 2'!$F$8)+(Step!#REF!*'Weighted 2'!$G$8)+(Slow!#REF!*'Weighted 2'!$H$8)</f>
        <v>#REF!</v>
      </c>
      <c r="L150" s="16" t="e">
        <f>(Central!#REF!*'Weighted 2'!$F$8)+(Step!#REF!*'Weighted 2'!$G$8)+(Slow!#REF!*'Weighted 2'!$H$8)</f>
        <v>#REF!</v>
      </c>
      <c r="M150" s="16" t="e">
        <f>(Central!#REF!*'Weighted 2'!$F$8)+(Step!#REF!*'Weighted 2'!$G$8)+(Slow!#REF!*'Weighted 2'!$H$8)</f>
        <v>#REF!</v>
      </c>
      <c r="N150" s="16" t="e">
        <f>(Central!#REF!*'Weighted 2'!$F$8)+(Step!#REF!*'Weighted 2'!$G$8)+(Slow!#REF!*'Weighted 2'!$H$8)</f>
        <v>#REF!</v>
      </c>
      <c r="O150" s="16" t="e">
        <f>(Central!#REF!*'Weighted 2'!$F$8)+(Step!#REF!*'Weighted 2'!$G$8)+(Slow!#REF!*'Weighted 2'!$H$8)</f>
        <v>#REF!</v>
      </c>
      <c r="P150" s="16" t="e">
        <f>(Central!#REF!*'Weighted 2'!$F$8)+(Step!#REF!*'Weighted 2'!$G$8)+(Slow!#REF!*'Weighted 2'!$H$8)</f>
        <v>#REF!</v>
      </c>
      <c r="Q150" s="16" t="e">
        <f>(Central!#REF!*'Weighted 2'!$F$8)+(Step!#REF!*'Weighted 2'!$G$8)+(Slow!#REF!*'Weighted 2'!$H$8)</f>
        <v>#REF!</v>
      </c>
      <c r="R150" s="16" t="e">
        <f>(Central!#REF!*'Weighted 2'!$F$8)+(Step!#REF!*'Weighted 2'!$G$8)+(Slow!#REF!*'Weighted 2'!$H$8)</f>
        <v>#REF!</v>
      </c>
      <c r="S150" s="16" t="e">
        <f>(Central!#REF!*'Weighted 2'!$F$8)+(Step!#REF!*'Weighted 2'!$G$8)+(Slow!#REF!*'Weighted 2'!$H$8)</f>
        <v>#REF!</v>
      </c>
      <c r="T150" s="16" t="e">
        <f>(Central!#REF!*'Weighted 2'!$F$8)+(Step!#REF!*'Weighted 2'!$G$8)+(Slow!#REF!*'Weighted 2'!$H$8)</f>
        <v>#REF!</v>
      </c>
      <c r="U150" s="16" t="e">
        <f>(Central!#REF!*'Weighted 2'!$F$8)+(Step!#REF!*'Weighted 2'!$G$8)+(Slow!#REF!*'Weighted 2'!$H$8)</f>
        <v>#REF!</v>
      </c>
      <c r="V150" s="16" t="e">
        <f>(Central!#REF!*'Weighted 2'!$F$8)+(Step!#REF!*'Weighted 2'!$G$8)+(Slow!#REF!*'Weighted 2'!$H$8)</f>
        <v>#REF!</v>
      </c>
      <c r="W150" s="16" t="e">
        <f>(Central!#REF!*'Weighted 2'!$F$8)+(Step!#REF!*'Weighted 2'!$G$8)+(Slow!#REF!*'Weighted 2'!$H$8)</f>
        <v>#REF!</v>
      </c>
      <c r="X150" s="16" t="e">
        <f>(Central!#REF!*'Weighted 2'!$F$8)+(Step!#REF!*'Weighted 2'!$G$8)+(Slow!#REF!*'Weighted 2'!$H$8)</f>
        <v>#REF!</v>
      </c>
      <c r="Y150" s="16" t="e">
        <f>(Central!#REF!*'Weighted 2'!$F$8)+(Step!#REF!*'Weighted 2'!$G$8)+(Slow!#REF!*'Weighted 2'!$H$8)</f>
        <v>#REF!</v>
      </c>
      <c r="Z150" s="16" t="e">
        <f>(Central!#REF!*'Weighted 2'!$F$8)+(Step!#REF!*'Weighted 2'!$G$8)+(Slow!#REF!*'Weighted 2'!$H$8)</f>
        <v>#REF!</v>
      </c>
      <c r="AA150" s="16" t="e">
        <f>(Central!#REF!*'Weighted 2'!$F$8)+(Step!#REF!*'Weighted 2'!$G$8)+(Slow!#REF!*'Weighted 2'!$H$8)</f>
        <v>#REF!</v>
      </c>
      <c r="AB150" s="16" t="e">
        <f>(Central!#REF!*'Weighted 2'!$F$8)+(Step!#REF!*'Weighted 2'!$G$8)+(Slow!#REF!*'Weighted 2'!$H$8)</f>
        <v>#REF!</v>
      </c>
      <c r="AC150" s="16" t="e">
        <f>(Central!#REF!*'Weighted 2'!$F$8)+(Step!#REF!*'Weighted 2'!$G$8)+(Slow!#REF!*'Weighted 2'!$H$8)</f>
        <v>#REF!</v>
      </c>
      <c r="AD150" s="16" t="e">
        <f>(Central!#REF!*'Weighted 2'!$F$8)+(Step!#REF!*'Weighted 2'!$G$8)+(Slow!#REF!*'Weighted 2'!$H$8)</f>
        <v>#REF!</v>
      </c>
      <c r="AE150" s="16" t="e">
        <f>(Central!#REF!*'Weighted 2'!$F$8)+(Step!#REF!*'Weighted 2'!$G$8)+(Slow!#REF!*'Weighted 2'!$H$8)</f>
        <v>#REF!</v>
      </c>
      <c r="AF150" s="16" t="e">
        <f>(Central!#REF!*'Weighted 2'!$F$8)+(Step!#REF!*'Weighted 2'!$G$8)+(Slow!#REF!*'Weighted 2'!$H$8)</f>
        <v>#REF!</v>
      </c>
    </row>
    <row r="151" spans="2:32" x14ac:dyDescent="0.2">
      <c r="F151" s="144"/>
    </row>
    <row r="152" spans="2:32" x14ac:dyDescent="0.2">
      <c r="F152" s="144"/>
    </row>
    <row r="154" spans="2:32" x14ac:dyDescent="0.2">
      <c r="F154" s="145"/>
    </row>
    <row r="155" spans="2:32" x14ac:dyDescent="0.2">
      <c r="F155" s="144"/>
    </row>
    <row r="156" spans="2:32" x14ac:dyDescent="0.2">
      <c r="F156" s="144"/>
    </row>
    <row r="157" spans="2:32" x14ac:dyDescent="0.2">
      <c r="F157" s="14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A1:AU107"/>
  <sheetViews>
    <sheetView workbookViewId="0"/>
  </sheetViews>
  <sheetFormatPr defaultRowHeight="15" x14ac:dyDescent="0.2"/>
  <cols>
    <col min="1" max="1" width="5.6640625" style="91" customWidth="1"/>
    <col min="2" max="6" width="10.6640625" customWidth="1"/>
    <col min="7" max="7" width="10.6640625" style="14" customWidth="1"/>
    <col min="8" max="8" width="10.6640625" customWidth="1"/>
    <col min="9" max="9" width="10.109375" customWidth="1"/>
    <col min="10" max="45" width="10.6640625" customWidth="1"/>
  </cols>
  <sheetData>
    <row r="1" spans="1:45" ht="18" x14ac:dyDescent="0.25">
      <c r="B1" s="100" t="str">
        <f ca="1">MID(CELL("filename",B2),FIND("]",CELL("filename",B2))+1,256)</f>
        <v>Interface and charts</v>
      </c>
    </row>
    <row r="2" spans="1:45" x14ac:dyDescent="0.2">
      <c r="B2" s="101" t="s">
        <v>68</v>
      </c>
      <c r="L2" s="90"/>
    </row>
    <row r="3" spans="1:45" x14ac:dyDescent="0.2">
      <c r="F3" s="14"/>
      <c r="L3" s="90"/>
    </row>
    <row r="4" spans="1:45" ht="21" x14ac:dyDescent="0.35">
      <c r="B4" s="5" t="s">
        <v>64</v>
      </c>
      <c r="C4" s="5"/>
      <c r="D4" s="5"/>
      <c r="E4" s="5"/>
      <c r="F4" s="5"/>
      <c r="G4" s="18"/>
      <c r="H4" s="18"/>
      <c r="I4" s="18"/>
      <c r="J4" s="18"/>
      <c r="K4" s="18"/>
      <c r="L4" s="154"/>
    </row>
    <row r="5" spans="1:45" x14ac:dyDescent="0.2">
      <c r="H5" s="14"/>
      <c r="L5" s="90"/>
    </row>
    <row r="6" spans="1:45" s="104" customFormat="1" ht="31.5" x14ac:dyDescent="0.2">
      <c r="A6" s="102"/>
      <c r="B6" s="103" t="s">
        <v>69</v>
      </c>
      <c r="C6" s="103"/>
      <c r="D6" s="103"/>
      <c r="G6" s="105"/>
      <c r="H6" s="106" t="s">
        <v>70</v>
      </c>
      <c r="I6" s="106" t="s">
        <v>93</v>
      </c>
      <c r="J6" s="106" t="s">
        <v>151</v>
      </c>
      <c r="K6" s="106" t="s">
        <v>152</v>
      </c>
      <c r="L6" s="155"/>
    </row>
    <row r="7" spans="1:45" ht="15.75" x14ac:dyDescent="0.25">
      <c r="B7" s="6" t="s">
        <v>72</v>
      </c>
      <c r="C7" s="6"/>
      <c r="D7" s="7"/>
      <c r="H7" s="6"/>
      <c r="I7" s="7" t="str">
        <f>I11</f>
        <v>Scenario 1</v>
      </c>
      <c r="J7" s="7" t="str">
        <f>J11</f>
        <v>Scenario 2</v>
      </c>
      <c r="K7" s="7" t="str">
        <f>K11</f>
        <v>Scenario 3</v>
      </c>
      <c r="L7" s="156"/>
      <c r="M7" s="98"/>
    </row>
    <row r="8" spans="1:45" x14ac:dyDescent="0.2">
      <c r="B8" s="1" t="s">
        <v>45</v>
      </c>
      <c r="C8" s="1"/>
      <c r="D8" s="89" t="s">
        <v>73</v>
      </c>
      <c r="H8" s="1" t="s">
        <v>71</v>
      </c>
      <c r="L8" s="157"/>
    </row>
    <row r="9" spans="1:45" x14ac:dyDescent="0.2">
      <c r="H9" s="14"/>
      <c r="L9" s="90"/>
    </row>
    <row r="10" spans="1:45" s="104" customFormat="1" ht="15.75" x14ac:dyDescent="0.2">
      <c r="A10" s="114"/>
      <c r="B10" s="107" t="s">
        <v>80</v>
      </c>
      <c r="C10" s="107"/>
      <c r="D10" s="107"/>
      <c r="E10" s="107"/>
      <c r="F10" s="107"/>
      <c r="G10" s="107"/>
      <c r="H10" s="107"/>
      <c r="I10" s="106" t="str">
        <f>$I$6</f>
        <v>Central</v>
      </c>
      <c r="J10" s="106" t="str">
        <f>$J$6</f>
        <v>Step</v>
      </c>
      <c r="K10" s="106" t="str">
        <f>$K$6</f>
        <v>Slow</v>
      </c>
      <c r="L10" s="155"/>
    </row>
    <row r="11" spans="1:45" ht="15.75" x14ac:dyDescent="0.25">
      <c r="A11" s="79"/>
      <c r="B11" s="146" t="s">
        <v>49</v>
      </c>
      <c r="C11" s="146"/>
      <c r="D11" s="146"/>
      <c r="E11" s="146"/>
      <c r="F11" s="7" t="s">
        <v>7</v>
      </c>
      <c r="G11" s="12" t="s">
        <v>8</v>
      </c>
      <c r="H11" s="7" t="s">
        <v>65</v>
      </c>
      <c r="I11" s="7" t="s">
        <v>73</v>
      </c>
      <c r="J11" s="7" t="s">
        <v>74</v>
      </c>
      <c r="K11" s="7" t="s">
        <v>75</v>
      </c>
      <c r="L11" s="156"/>
      <c r="M11" s="98"/>
    </row>
    <row r="12" spans="1:45" ht="15.75" x14ac:dyDescent="0.25">
      <c r="A12" s="114" t="s">
        <v>62</v>
      </c>
      <c r="B12" s="1" t="str">
        <f>+'CBA Inputs'!B9</f>
        <v>Commercial discount rate</v>
      </c>
      <c r="C12" s="1"/>
      <c r="D12" s="1"/>
      <c r="E12" s="1"/>
      <c r="F12" s="11" t="s">
        <v>57</v>
      </c>
      <c r="G12" s="19">
        <f>'CBA Inputs'!K9</f>
        <v>0</v>
      </c>
      <c r="H12" s="92" t="str">
        <f>INDEX($I12:$K12,1,MATCH($D$8,$I$11:$K$11,0))</f>
        <v>Central</v>
      </c>
      <c r="I12" s="49" t="s">
        <v>93</v>
      </c>
      <c r="J12" s="49" t="s">
        <v>40</v>
      </c>
      <c r="K12" s="49" t="s">
        <v>39</v>
      </c>
      <c r="L12" s="94"/>
      <c r="M12" s="90"/>
      <c r="Q12" s="77"/>
    </row>
    <row r="13" spans="1:45" x14ac:dyDescent="0.2">
      <c r="A13" s="79" t="s">
        <v>39</v>
      </c>
      <c r="B13" s="1" t="str">
        <f>+'CBA Inputs'!B13</f>
        <v>Network capital cost</v>
      </c>
      <c r="C13" s="1"/>
      <c r="D13" s="1"/>
      <c r="E13" s="1"/>
      <c r="F13" s="11" t="s">
        <v>57</v>
      </c>
      <c r="G13" s="25">
        <f>'CBA Inputs'!K13</f>
        <v>0</v>
      </c>
      <c r="H13" s="92" t="str">
        <f>INDEX($I13:$K13,1,MATCH($D$8,$I$11:$K$11,0))</f>
        <v>Central</v>
      </c>
      <c r="I13" s="49" t="s">
        <v>93</v>
      </c>
      <c r="J13" s="49" t="s">
        <v>40</v>
      </c>
      <c r="K13" s="49" t="s">
        <v>39</v>
      </c>
      <c r="L13" s="94"/>
      <c r="M13" s="90"/>
    </row>
    <row r="14" spans="1:45" s="161" customFormat="1" x14ac:dyDescent="0.2">
      <c r="A14" s="79"/>
      <c r="B14" s="1" t="str">
        <f>+'CBA Inputs'!B14</f>
        <v>Operation costs</v>
      </c>
      <c r="C14" s="1"/>
      <c r="D14" s="1"/>
      <c r="E14" s="1"/>
      <c r="F14" s="173" t="s">
        <v>57</v>
      </c>
      <c r="G14" s="25">
        <f>'CBA Inputs'!K14</f>
        <v>0</v>
      </c>
      <c r="H14" s="92" t="str">
        <f>INDEX($I14:$K14,1,MATCH($D$8,$I$11:$K$11,0))</f>
        <v>Central</v>
      </c>
      <c r="I14" s="49" t="s">
        <v>93</v>
      </c>
      <c r="J14" s="49" t="s">
        <v>93</v>
      </c>
      <c r="K14" s="49" t="s">
        <v>93</v>
      </c>
      <c r="L14" s="94"/>
      <c r="M14" s="90"/>
    </row>
    <row r="15" spans="1:45" x14ac:dyDescent="0.2">
      <c r="B15" s="93"/>
      <c r="C15" s="93"/>
      <c r="D15" s="93"/>
      <c r="E15" s="93"/>
      <c r="F15" s="94"/>
      <c r="G15" s="94"/>
      <c r="H15" s="94"/>
      <c r="AS15" s="161"/>
    </row>
    <row r="16" spans="1:45" ht="21" x14ac:dyDescent="0.35">
      <c r="B16" s="5" t="s">
        <v>88</v>
      </c>
      <c r="C16" s="5"/>
      <c r="D16" s="5"/>
      <c r="E16" s="5"/>
      <c r="F16" s="5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61"/>
    </row>
    <row r="17" spans="2:47" x14ac:dyDescent="0.2">
      <c r="AS17" s="161"/>
    </row>
    <row r="18" spans="2:47" x14ac:dyDescent="0.2">
      <c r="B18" s="119" t="e">
        <f>'Preliminary results'!#REF!</f>
        <v>#REF!</v>
      </c>
      <c r="C18" s="119" t="str">
        <f>$I$6</f>
        <v>Central</v>
      </c>
      <c r="D18" s="119"/>
      <c r="E18" s="119"/>
      <c r="F18" s="119"/>
      <c r="G18" s="119"/>
      <c r="H18" s="119"/>
      <c r="J18" s="129"/>
      <c r="K18" s="119" t="e">
        <f>'Preliminary results'!#REF!</f>
        <v>#REF!</v>
      </c>
      <c r="L18" s="119" t="str">
        <f>$J$6</f>
        <v>Step</v>
      </c>
      <c r="M18" s="119"/>
      <c r="N18" s="119"/>
      <c r="O18" s="119"/>
      <c r="P18" s="119"/>
      <c r="Q18" s="119"/>
      <c r="R18" s="161"/>
      <c r="S18" s="129"/>
      <c r="T18" s="119" t="e">
        <f>'Preliminary results'!#REF!</f>
        <v>#REF!</v>
      </c>
      <c r="U18" s="119" t="str">
        <f>$K$6</f>
        <v>Slow</v>
      </c>
      <c r="V18" s="119"/>
      <c r="W18" s="119"/>
      <c r="X18" s="119"/>
      <c r="Y18" s="119"/>
      <c r="Z18" s="119"/>
      <c r="AA18" s="161"/>
      <c r="AB18" s="129"/>
      <c r="AC18" s="119" t="s">
        <v>85</v>
      </c>
      <c r="AD18" s="119"/>
      <c r="AE18" s="119"/>
      <c r="AF18" s="119"/>
      <c r="AG18" s="119"/>
      <c r="AH18" s="119"/>
      <c r="AI18" s="119"/>
      <c r="AJ18" s="161"/>
      <c r="AK18" s="117"/>
      <c r="AL18" s="119" t="s">
        <v>102</v>
      </c>
      <c r="AM18" s="119"/>
      <c r="AN18" s="119"/>
      <c r="AO18" s="119"/>
      <c r="AP18" s="119"/>
      <c r="AQ18" s="119"/>
      <c r="AR18" s="119"/>
      <c r="AS18" s="161"/>
      <c r="AT18" s="117"/>
      <c r="AU18" s="117"/>
    </row>
    <row r="19" spans="2:47" hidden="1" x14ac:dyDescent="0.2">
      <c r="B19" s="117"/>
      <c r="C19" s="117"/>
      <c r="D19" s="117"/>
      <c r="E19" s="117"/>
      <c r="F19" s="117"/>
      <c r="G19" s="117"/>
      <c r="H19" s="117"/>
      <c r="J19" s="128"/>
      <c r="K19" s="117"/>
      <c r="L19" s="117"/>
      <c r="M19" s="117"/>
      <c r="N19" s="117"/>
      <c r="O19" s="117"/>
      <c r="P19" s="117"/>
      <c r="Q19" s="117"/>
      <c r="R19" s="161"/>
      <c r="S19" s="128"/>
      <c r="T19" s="117"/>
      <c r="U19" s="117"/>
      <c r="V19" s="117"/>
      <c r="W19" s="117"/>
      <c r="X19" s="117"/>
      <c r="Y19" s="117"/>
      <c r="Z19" s="117"/>
      <c r="AA19" s="161"/>
      <c r="AB19" s="128"/>
      <c r="AC19" s="117"/>
      <c r="AD19" s="117"/>
      <c r="AE19" s="117"/>
      <c r="AF19" s="117"/>
      <c r="AG19" s="117"/>
      <c r="AH19" s="117"/>
      <c r="AI19" s="117"/>
      <c r="AJ19" s="161"/>
      <c r="AK19" s="117"/>
      <c r="AL19" s="117"/>
      <c r="AM19" s="117"/>
      <c r="AN19" s="117"/>
      <c r="AO19" s="117"/>
      <c r="AP19" s="117"/>
      <c r="AQ19" s="117"/>
      <c r="AR19" s="117"/>
      <c r="AS19" s="161"/>
      <c r="AT19" s="117"/>
      <c r="AU19" s="117"/>
    </row>
    <row r="20" spans="2:47" hidden="1" x14ac:dyDescent="0.2">
      <c r="B20" s="120" t="e">
        <f>'Preliminary results'!#REF!</f>
        <v>#REF!</v>
      </c>
      <c r="C20" s="120"/>
      <c r="D20" s="120"/>
      <c r="E20" s="120"/>
      <c r="F20" s="120"/>
      <c r="G20" s="120"/>
      <c r="H20" s="120"/>
      <c r="J20" s="127"/>
      <c r="K20" s="120" t="s">
        <v>82</v>
      </c>
      <c r="L20" s="120"/>
      <c r="M20" s="120"/>
      <c r="N20" s="120"/>
      <c r="O20" s="120"/>
      <c r="P20" s="120"/>
      <c r="Q20" s="120"/>
      <c r="R20" s="161"/>
      <c r="S20" s="127"/>
      <c r="T20" s="120" t="s">
        <v>82</v>
      </c>
      <c r="U20" s="120"/>
      <c r="V20" s="120"/>
      <c r="W20" s="120"/>
      <c r="X20" s="120"/>
      <c r="Y20" s="120"/>
      <c r="Z20" s="120"/>
      <c r="AA20" s="161"/>
      <c r="AB20" s="127"/>
      <c r="AC20" s="120" t="s">
        <v>87</v>
      </c>
      <c r="AD20" s="120"/>
      <c r="AE20" s="120"/>
      <c r="AF20" s="120"/>
      <c r="AG20" s="120"/>
      <c r="AH20" s="120"/>
      <c r="AI20" s="120"/>
      <c r="AJ20" s="161"/>
      <c r="AK20" s="117"/>
      <c r="AL20" s="120" t="s">
        <v>84</v>
      </c>
      <c r="AM20" s="120"/>
      <c r="AN20" s="120"/>
      <c r="AO20" s="120"/>
      <c r="AP20" s="120"/>
      <c r="AQ20" s="120"/>
      <c r="AR20" s="120"/>
      <c r="AS20" s="161"/>
      <c r="AT20" s="117"/>
      <c r="AU20" s="117"/>
    </row>
    <row r="21" spans="2:47" x14ac:dyDescent="0.2">
      <c r="B21" s="117"/>
      <c r="C21" s="117"/>
      <c r="D21" s="117"/>
      <c r="E21" s="117"/>
      <c r="F21" s="117"/>
      <c r="G21" s="117"/>
      <c r="H21" s="117"/>
      <c r="J21" s="117"/>
      <c r="K21" s="117"/>
      <c r="L21" s="117"/>
      <c r="M21" s="117"/>
      <c r="N21" s="117"/>
      <c r="O21" s="117"/>
      <c r="P21" s="117"/>
      <c r="Q21" s="117"/>
      <c r="R21" s="161"/>
      <c r="S21" s="117"/>
      <c r="T21" s="117"/>
      <c r="U21" s="117"/>
      <c r="V21" s="117"/>
      <c r="W21" s="117"/>
      <c r="X21" s="117"/>
      <c r="Y21" s="117"/>
      <c r="Z21" s="117"/>
      <c r="AA21" s="161"/>
      <c r="AB21" s="117"/>
      <c r="AC21" s="117"/>
      <c r="AD21" s="117"/>
      <c r="AE21" s="117"/>
      <c r="AF21" s="117"/>
      <c r="AG21" s="117"/>
      <c r="AH21" s="117"/>
      <c r="AI21" s="117"/>
      <c r="AJ21" s="161"/>
      <c r="AK21" s="117"/>
      <c r="AL21" s="117"/>
      <c r="AM21" s="117"/>
      <c r="AN21" s="117"/>
      <c r="AO21" s="117"/>
      <c r="AP21" s="117"/>
      <c r="AQ21" s="117"/>
      <c r="AR21" s="117"/>
      <c r="AS21" s="161"/>
      <c r="AT21" s="117"/>
      <c r="AU21" s="117"/>
    </row>
    <row r="22" spans="2:47" x14ac:dyDescent="0.2">
      <c r="B22" s="117"/>
      <c r="C22" s="117"/>
      <c r="D22" s="117"/>
      <c r="E22" s="117"/>
      <c r="F22" s="117"/>
      <c r="G22" s="117"/>
      <c r="H22" s="117"/>
      <c r="J22" s="117"/>
      <c r="K22" s="117"/>
      <c r="L22" s="117"/>
      <c r="M22" s="117"/>
      <c r="N22" s="117"/>
      <c r="O22" s="117"/>
      <c r="P22" s="117"/>
      <c r="Q22" s="117"/>
      <c r="R22" s="161"/>
      <c r="S22" s="117"/>
      <c r="T22" s="117"/>
      <c r="U22" s="117"/>
      <c r="V22" s="117"/>
      <c r="W22" s="117"/>
      <c r="X22" s="117"/>
      <c r="Y22" s="117"/>
      <c r="Z22" s="117"/>
      <c r="AA22" s="161"/>
      <c r="AB22" s="117"/>
      <c r="AC22" s="117"/>
      <c r="AD22" s="117"/>
      <c r="AE22" s="117"/>
      <c r="AF22" s="117"/>
      <c r="AG22" s="117"/>
      <c r="AH22" s="117"/>
      <c r="AI22" s="117"/>
      <c r="AJ22" s="161"/>
      <c r="AK22" s="117"/>
      <c r="AL22" s="117"/>
      <c r="AM22" s="117"/>
      <c r="AN22" s="117"/>
      <c r="AO22" s="117"/>
      <c r="AP22" s="117"/>
      <c r="AQ22" s="117"/>
      <c r="AR22" s="117"/>
      <c r="AS22" s="161"/>
      <c r="AT22" s="117"/>
      <c r="AU22" s="117"/>
    </row>
    <row r="23" spans="2:47" x14ac:dyDescent="0.2">
      <c r="B23" s="117"/>
      <c r="C23" s="117"/>
      <c r="D23" s="117"/>
      <c r="E23" s="117"/>
      <c r="F23" s="117"/>
      <c r="G23" s="117"/>
      <c r="H23" s="117"/>
      <c r="J23" s="117"/>
      <c r="K23" s="117"/>
      <c r="L23" s="117"/>
      <c r="M23" s="117"/>
      <c r="N23" s="117"/>
      <c r="O23" s="117"/>
      <c r="P23" s="117"/>
      <c r="Q23" s="117"/>
      <c r="R23" s="161"/>
      <c r="S23" s="117"/>
      <c r="T23" s="117"/>
      <c r="U23" s="117"/>
      <c r="V23" s="117"/>
      <c r="W23" s="117"/>
      <c r="X23" s="117"/>
      <c r="Y23" s="117"/>
      <c r="Z23" s="117"/>
      <c r="AA23" s="161"/>
      <c r="AB23" s="117"/>
      <c r="AC23" s="117"/>
      <c r="AD23" s="117"/>
      <c r="AE23" s="117"/>
      <c r="AF23" s="117"/>
      <c r="AG23" s="117"/>
      <c r="AH23" s="117"/>
      <c r="AI23" s="117"/>
      <c r="AJ23" s="161"/>
      <c r="AK23" s="117"/>
      <c r="AL23" s="117"/>
      <c r="AM23" s="117"/>
      <c r="AN23" s="117"/>
      <c r="AO23" s="117"/>
      <c r="AP23" s="117"/>
      <c r="AQ23" s="117"/>
      <c r="AR23" s="117"/>
      <c r="AS23" s="161"/>
      <c r="AT23" s="117"/>
      <c r="AU23" s="117"/>
    </row>
    <row r="24" spans="2:47" x14ac:dyDescent="0.2">
      <c r="B24" s="117"/>
      <c r="C24" s="117"/>
      <c r="D24" s="117"/>
      <c r="E24" s="117"/>
      <c r="F24" s="117"/>
      <c r="G24" s="117"/>
      <c r="H24" s="117"/>
      <c r="J24" s="117"/>
      <c r="K24" s="117"/>
      <c r="L24" s="117"/>
      <c r="M24" s="117"/>
      <c r="N24" s="117"/>
      <c r="O24" s="117"/>
      <c r="P24" s="117"/>
      <c r="Q24" s="117"/>
      <c r="R24" s="161"/>
      <c r="S24" s="117"/>
      <c r="T24" s="117"/>
      <c r="U24" s="117"/>
      <c r="V24" s="117"/>
      <c r="W24" s="117"/>
      <c r="X24" s="117"/>
      <c r="Y24" s="117"/>
      <c r="Z24" s="117"/>
      <c r="AA24" s="161"/>
      <c r="AB24" s="117"/>
      <c r="AC24" s="117"/>
      <c r="AD24" s="117"/>
      <c r="AE24" s="117"/>
      <c r="AF24" s="117"/>
      <c r="AG24" s="117"/>
      <c r="AH24" s="117"/>
      <c r="AI24" s="117"/>
      <c r="AJ24" s="161"/>
      <c r="AK24" s="117"/>
      <c r="AL24" s="117"/>
      <c r="AM24" s="117"/>
      <c r="AN24" s="117"/>
      <c r="AO24" s="117"/>
      <c r="AP24" s="117"/>
      <c r="AQ24" s="117"/>
      <c r="AR24" s="117"/>
      <c r="AS24" s="161"/>
      <c r="AT24" s="117"/>
      <c r="AU24" s="117"/>
    </row>
    <row r="25" spans="2:47" x14ac:dyDescent="0.2">
      <c r="B25" s="117"/>
      <c r="C25" s="117"/>
      <c r="D25" s="117"/>
      <c r="E25" s="117"/>
      <c r="F25" s="117"/>
      <c r="G25" s="117"/>
      <c r="H25" s="117"/>
      <c r="J25" s="117"/>
      <c r="K25" s="117"/>
      <c r="L25" s="117"/>
      <c r="M25" s="117"/>
      <c r="N25" s="117"/>
      <c r="O25" s="117"/>
      <c r="P25" s="117"/>
      <c r="Q25" s="117"/>
      <c r="R25" s="161"/>
      <c r="S25" s="117"/>
      <c r="T25" s="117"/>
      <c r="U25" s="117"/>
      <c r="V25" s="117"/>
      <c r="W25" s="117"/>
      <c r="X25" s="117"/>
      <c r="Y25" s="117"/>
      <c r="Z25" s="117"/>
      <c r="AA25" s="161"/>
      <c r="AB25" s="117"/>
      <c r="AC25" s="117"/>
      <c r="AD25" s="117"/>
      <c r="AE25" s="117"/>
      <c r="AF25" s="117"/>
      <c r="AG25" s="117"/>
      <c r="AH25" s="117"/>
      <c r="AI25" s="117"/>
      <c r="AJ25" s="161"/>
      <c r="AK25" s="117"/>
      <c r="AL25" s="117"/>
      <c r="AM25" s="117"/>
      <c r="AN25" s="117"/>
      <c r="AO25" s="117"/>
      <c r="AP25" s="117"/>
      <c r="AQ25" s="117"/>
      <c r="AR25" s="117"/>
      <c r="AS25" s="161"/>
      <c r="AT25" s="117"/>
      <c r="AU25" s="117"/>
    </row>
    <row r="26" spans="2:47" x14ac:dyDescent="0.2">
      <c r="B26" s="117"/>
      <c r="C26" s="117"/>
      <c r="D26" s="117"/>
      <c r="E26" s="117"/>
      <c r="F26" s="117"/>
      <c r="G26" s="117"/>
      <c r="H26" s="117"/>
      <c r="J26" s="117"/>
      <c r="K26" s="117"/>
      <c r="L26" s="117"/>
      <c r="M26" s="117"/>
      <c r="N26" s="117"/>
      <c r="O26" s="117"/>
      <c r="P26" s="117"/>
      <c r="Q26" s="117"/>
      <c r="R26" s="161"/>
      <c r="S26" s="117"/>
      <c r="T26" s="117"/>
      <c r="U26" s="117"/>
      <c r="V26" s="117"/>
      <c r="W26" s="117"/>
      <c r="X26" s="117"/>
      <c r="Y26" s="117"/>
      <c r="Z26" s="117"/>
      <c r="AA26" s="161"/>
      <c r="AB26" s="117"/>
      <c r="AC26" s="117"/>
      <c r="AD26" s="117"/>
      <c r="AE26" s="117"/>
      <c r="AF26" s="117"/>
      <c r="AG26" s="117"/>
      <c r="AH26" s="117"/>
      <c r="AI26" s="117"/>
      <c r="AJ26" s="161"/>
      <c r="AK26" s="117"/>
      <c r="AL26" s="117"/>
      <c r="AM26" s="117"/>
      <c r="AN26" s="117"/>
      <c r="AO26" s="117"/>
      <c r="AP26" s="117"/>
      <c r="AQ26" s="117"/>
      <c r="AR26" s="117"/>
      <c r="AS26" s="161"/>
      <c r="AT26" s="117"/>
      <c r="AU26" s="117"/>
    </row>
    <row r="27" spans="2:47" x14ac:dyDescent="0.2">
      <c r="B27" s="117"/>
      <c r="C27" s="117"/>
      <c r="D27" s="117"/>
      <c r="E27" s="117"/>
      <c r="F27" s="117"/>
      <c r="G27" s="117"/>
      <c r="H27" s="117"/>
      <c r="J27" s="117"/>
      <c r="K27" s="117"/>
      <c r="L27" s="117"/>
      <c r="M27" s="117"/>
      <c r="N27" s="117"/>
      <c r="O27" s="117"/>
      <c r="P27" s="117"/>
      <c r="Q27" s="117"/>
      <c r="R27" s="161"/>
      <c r="S27" s="117"/>
      <c r="T27" s="117"/>
      <c r="U27" s="117"/>
      <c r="V27" s="117"/>
      <c r="W27" s="117"/>
      <c r="X27" s="117"/>
      <c r="Y27" s="117"/>
      <c r="Z27" s="117"/>
      <c r="AA27" s="161"/>
      <c r="AB27" s="117"/>
      <c r="AC27" s="117"/>
      <c r="AD27" s="117"/>
      <c r="AE27" s="117"/>
      <c r="AF27" s="117"/>
      <c r="AG27" s="117"/>
      <c r="AH27" s="117"/>
      <c r="AI27" s="117"/>
      <c r="AJ27" s="161"/>
      <c r="AK27" s="117"/>
      <c r="AL27" s="117"/>
      <c r="AM27" s="117"/>
      <c r="AN27" s="117"/>
      <c r="AO27" s="117"/>
      <c r="AP27" s="117"/>
      <c r="AQ27" s="117"/>
      <c r="AR27" s="117"/>
      <c r="AS27" s="161"/>
      <c r="AT27" s="117"/>
      <c r="AU27" s="117"/>
    </row>
    <row r="28" spans="2:47" x14ac:dyDescent="0.2">
      <c r="B28" s="117"/>
      <c r="C28" s="117"/>
      <c r="D28" s="117"/>
      <c r="E28" s="117"/>
      <c r="F28" s="117"/>
      <c r="G28" s="117"/>
      <c r="H28" s="117"/>
      <c r="J28" s="117"/>
      <c r="K28" s="117"/>
      <c r="L28" s="117"/>
      <c r="M28" s="117"/>
      <c r="N28" s="117"/>
      <c r="O28" s="117"/>
      <c r="P28" s="117"/>
      <c r="Q28" s="117"/>
      <c r="R28" s="161"/>
      <c r="S28" s="117"/>
      <c r="T28" s="117"/>
      <c r="U28" s="117"/>
      <c r="V28" s="117"/>
      <c r="W28" s="117"/>
      <c r="X28" s="117"/>
      <c r="Y28" s="117"/>
      <c r="Z28" s="117"/>
      <c r="AA28" s="161"/>
      <c r="AB28" s="117"/>
      <c r="AC28" s="117"/>
      <c r="AD28" s="117"/>
      <c r="AE28" s="117"/>
      <c r="AF28" s="117"/>
      <c r="AG28" s="117"/>
      <c r="AH28" s="117"/>
      <c r="AI28" s="117"/>
      <c r="AJ28" s="161"/>
      <c r="AK28" s="117"/>
      <c r="AL28" s="117"/>
      <c r="AM28" s="117"/>
      <c r="AN28" s="117"/>
      <c r="AO28" s="117"/>
      <c r="AP28" s="117"/>
      <c r="AQ28" s="117"/>
      <c r="AR28" s="117"/>
      <c r="AS28" s="161"/>
      <c r="AT28" s="117"/>
      <c r="AU28" s="117"/>
    </row>
    <row r="29" spans="2:47" x14ac:dyDescent="0.2">
      <c r="B29" s="117"/>
      <c r="C29" s="117"/>
      <c r="D29" s="117"/>
      <c r="E29" s="117"/>
      <c r="F29" s="117"/>
      <c r="G29" s="117"/>
      <c r="H29" s="117"/>
      <c r="J29" s="117"/>
      <c r="K29" s="117"/>
      <c r="L29" s="117"/>
      <c r="M29" s="117"/>
      <c r="N29" s="117"/>
      <c r="O29" s="117"/>
      <c r="P29" s="117"/>
      <c r="Q29" s="117"/>
      <c r="R29" s="161"/>
      <c r="S29" s="117"/>
      <c r="T29" s="117"/>
      <c r="U29" s="117"/>
      <c r="V29" s="117"/>
      <c r="W29" s="117"/>
      <c r="X29" s="117"/>
      <c r="Y29" s="117"/>
      <c r="Z29" s="117"/>
      <c r="AA29" s="161"/>
      <c r="AB29" s="117"/>
      <c r="AC29" s="117"/>
      <c r="AD29" s="117"/>
      <c r="AE29" s="117"/>
      <c r="AF29" s="117"/>
      <c r="AG29" s="117"/>
      <c r="AH29" s="117"/>
      <c r="AI29" s="117"/>
      <c r="AJ29" s="161"/>
      <c r="AK29" s="117"/>
      <c r="AL29" s="117"/>
      <c r="AM29" s="117"/>
      <c r="AN29" s="117"/>
      <c r="AO29" s="117"/>
      <c r="AP29" s="117"/>
      <c r="AQ29" s="117"/>
      <c r="AR29" s="117"/>
      <c r="AS29" s="161"/>
      <c r="AT29" s="117"/>
      <c r="AU29" s="117"/>
    </row>
    <row r="30" spans="2:47" x14ac:dyDescent="0.2">
      <c r="B30" s="117"/>
      <c r="C30" s="117"/>
      <c r="D30" s="117"/>
      <c r="E30" s="117"/>
      <c r="F30" s="117"/>
      <c r="G30" s="117"/>
      <c r="H30" s="117"/>
      <c r="J30" s="117"/>
      <c r="K30" s="117"/>
      <c r="L30" s="117"/>
      <c r="M30" s="117"/>
      <c r="N30" s="117"/>
      <c r="O30" s="117"/>
      <c r="P30" s="117"/>
      <c r="Q30" s="117"/>
      <c r="R30" s="161"/>
      <c r="S30" s="117"/>
      <c r="T30" s="117"/>
      <c r="U30" s="117"/>
      <c r="V30" s="117"/>
      <c r="W30" s="117"/>
      <c r="X30" s="117"/>
      <c r="Y30" s="117"/>
      <c r="Z30" s="117"/>
      <c r="AA30" s="161"/>
      <c r="AB30" s="117"/>
      <c r="AC30" s="117"/>
      <c r="AD30" s="117"/>
      <c r="AE30" s="117"/>
      <c r="AF30" s="117"/>
      <c r="AG30" s="117"/>
      <c r="AH30" s="117"/>
      <c r="AI30" s="117"/>
      <c r="AJ30" s="161"/>
      <c r="AK30" s="117"/>
      <c r="AL30" s="117"/>
      <c r="AM30" s="117"/>
      <c r="AN30" s="117"/>
      <c r="AO30" s="117"/>
      <c r="AP30" s="117"/>
      <c r="AQ30" s="117"/>
      <c r="AR30" s="117"/>
      <c r="AS30" s="161"/>
      <c r="AT30" s="117"/>
      <c r="AU30" s="117"/>
    </row>
    <row r="31" spans="2:47" x14ac:dyDescent="0.2">
      <c r="B31" s="117"/>
      <c r="C31" s="117"/>
      <c r="D31" s="117"/>
      <c r="E31" s="117"/>
      <c r="F31" s="117"/>
      <c r="G31" s="117"/>
      <c r="H31" s="117"/>
      <c r="J31" s="117"/>
      <c r="K31" s="117"/>
      <c r="L31" s="117"/>
      <c r="M31" s="117"/>
      <c r="N31" s="117"/>
      <c r="O31" s="117"/>
      <c r="P31" s="117"/>
      <c r="Q31" s="117"/>
      <c r="R31" s="161"/>
      <c r="S31" s="117"/>
      <c r="T31" s="117"/>
      <c r="U31" s="117"/>
      <c r="V31" s="117"/>
      <c r="W31" s="117"/>
      <c r="X31" s="117"/>
      <c r="Y31" s="117"/>
      <c r="Z31" s="117"/>
      <c r="AA31" s="161"/>
      <c r="AB31" s="117"/>
      <c r="AC31" s="117"/>
      <c r="AD31" s="117"/>
      <c r="AE31" s="117"/>
      <c r="AF31" s="117"/>
      <c r="AG31" s="117"/>
      <c r="AH31" s="117"/>
      <c r="AI31" s="117"/>
      <c r="AJ31" s="161"/>
      <c r="AK31" s="117"/>
      <c r="AL31" s="117"/>
      <c r="AM31" s="117"/>
      <c r="AN31" s="117"/>
      <c r="AO31" s="117"/>
      <c r="AP31" s="117"/>
      <c r="AQ31" s="117"/>
      <c r="AR31" s="117"/>
      <c r="AS31" s="161"/>
      <c r="AT31" s="117"/>
      <c r="AU31" s="117"/>
    </row>
    <row r="32" spans="2:47" x14ac:dyDescent="0.2">
      <c r="B32" s="117"/>
      <c r="C32" s="117"/>
      <c r="D32" s="117"/>
      <c r="E32" s="117"/>
      <c r="F32" s="117"/>
      <c r="G32" s="117"/>
      <c r="H32" s="117"/>
      <c r="J32" s="117"/>
      <c r="K32" s="117"/>
      <c r="L32" s="117"/>
      <c r="M32" s="117"/>
      <c r="N32" s="117"/>
      <c r="O32" s="117"/>
      <c r="P32" s="117"/>
      <c r="Q32" s="117"/>
      <c r="R32" s="161"/>
      <c r="S32" s="117"/>
      <c r="T32" s="117"/>
      <c r="U32" s="117"/>
      <c r="V32" s="117"/>
      <c r="W32" s="117"/>
      <c r="X32" s="117"/>
      <c r="Y32" s="117"/>
      <c r="Z32" s="117"/>
      <c r="AA32" s="161"/>
      <c r="AB32" s="117"/>
      <c r="AC32" s="117"/>
      <c r="AD32" s="117"/>
      <c r="AE32" s="117"/>
      <c r="AF32" s="117"/>
      <c r="AG32" s="117"/>
      <c r="AH32" s="117"/>
      <c r="AI32" s="117"/>
      <c r="AJ32" s="161"/>
      <c r="AK32" s="117"/>
      <c r="AL32" s="117"/>
      <c r="AM32" s="117"/>
      <c r="AN32" s="117"/>
      <c r="AO32" s="117"/>
      <c r="AP32" s="117"/>
      <c r="AQ32" s="117"/>
      <c r="AR32" s="117"/>
      <c r="AS32" s="161"/>
      <c r="AT32" s="117"/>
      <c r="AU32" s="117"/>
    </row>
    <row r="33" spans="1:47" x14ac:dyDescent="0.2">
      <c r="B33" s="117"/>
      <c r="C33" s="117"/>
      <c r="D33" s="117"/>
      <c r="E33" s="117"/>
      <c r="F33" s="117"/>
      <c r="G33" s="117"/>
      <c r="H33" s="117"/>
      <c r="J33" s="117"/>
      <c r="K33" s="117"/>
      <c r="L33" s="117"/>
      <c r="M33" s="117"/>
      <c r="N33" s="117"/>
      <c r="O33" s="117"/>
      <c r="P33" s="117"/>
      <c r="Q33" s="117"/>
      <c r="R33" s="161"/>
      <c r="S33" s="117"/>
      <c r="T33" s="117"/>
      <c r="U33" s="117"/>
      <c r="V33" s="117"/>
      <c r="W33" s="117"/>
      <c r="X33" s="117"/>
      <c r="Y33" s="117"/>
      <c r="Z33" s="117"/>
      <c r="AA33" s="161"/>
      <c r="AB33" s="117"/>
      <c r="AC33" s="117"/>
      <c r="AD33" s="117"/>
      <c r="AE33" s="117"/>
      <c r="AF33" s="117"/>
      <c r="AG33" s="117"/>
      <c r="AH33" s="117"/>
      <c r="AI33" s="117"/>
      <c r="AJ33" s="161"/>
      <c r="AK33" s="117"/>
      <c r="AL33" s="117"/>
      <c r="AM33" s="117"/>
      <c r="AN33" s="117"/>
      <c r="AO33" s="117"/>
      <c r="AP33" s="117"/>
      <c r="AQ33" s="117"/>
      <c r="AR33" s="117"/>
      <c r="AS33" s="161"/>
      <c r="AT33" s="117"/>
      <c r="AU33" s="117"/>
    </row>
    <row r="34" spans="1:47" x14ac:dyDescent="0.2">
      <c r="B34" s="117"/>
      <c r="C34" s="117"/>
      <c r="D34" s="117"/>
      <c r="E34" s="117"/>
      <c r="F34" s="117"/>
      <c r="G34" s="117"/>
      <c r="H34" s="117"/>
      <c r="J34" s="117"/>
      <c r="K34" s="117"/>
      <c r="L34" s="117"/>
      <c r="M34" s="117"/>
      <c r="N34" s="117"/>
      <c r="O34" s="117"/>
      <c r="P34" s="117"/>
      <c r="Q34" s="117"/>
      <c r="R34" s="161"/>
      <c r="S34" s="117"/>
      <c r="T34" s="117"/>
      <c r="U34" s="117"/>
      <c r="V34" s="117"/>
      <c r="W34" s="117"/>
      <c r="X34" s="117"/>
      <c r="Y34" s="117"/>
      <c r="Z34" s="117"/>
      <c r="AA34" s="161"/>
      <c r="AB34" s="117"/>
      <c r="AC34" s="117"/>
      <c r="AD34" s="117"/>
      <c r="AE34" s="117"/>
      <c r="AF34" s="117"/>
      <c r="AG34" s="117"/>
      <c r="AH34" s="117"/>
      <c r="AI34" s="117"/>
      <c r="AJ34" s="161"/>
      <c r="AK34" s="117"/>
      <c r="AL34" s="117"/>
      <c r="AM34" s="117"/>
      <c r="AN34" s="117"/>
      <c r="AO34" s="117"/>
      <c r="AP34" s="117"/>
      <c r="AQ34" s="117"/>
      <c r="AR34" s="117"/>
      <c r="AS34" s="161"/>
      <c r="AT34" s="117"/>
      <c r="AU34" s="117"/>
    </row>
    <row r="35" spans="1:47" x14ac:dyDescent="0.2">
      <c r="B35" s="117"/>
      <c r="C35" s="117"/>
      <c r="D35" s="117"/>
      <c r="E35" s="117"/>
      <c r="F35" s="117"/>
      <c r="G35" s="117"/>
      <c r="H35" s="117"/>
      <c r="J35" s="117"/>
      <c r="K35" s="117"/>
      <c r="L35" s="117"/>
      <c r="M35" s="117"/>
      <c r="N35" s="117"/>
      <c r="O35" s="117"/>
      <c r="P35" s="117"/>
      <c r="Q35" s="117"/>
      <c r="R35" s="161"/>
      <c r="S35" s="117"/>
      <c r="T35" s="117"/>
      <c r="U35" s="117"/>
      <c r="V35" s="117"/>
      <c r="W35" s="117"/>
      <c r="X35" s="117"/>
      <c r="Y35" s="117"/>
      <c r="Z35" s="117"/>
      <c r="AA35" s="161"/>
      <c r="AB35" s="117"/>
      <c r="AC35" s="117"/>
      <c r="AD35" s="117"/>
      <c r="AE35" s="117"/>
      <c r="AF35" s="117"/>
      <c r="AG35" s="117"/>
      <c r="AH35" s="117"/>
      <c r="AI35" s="117"/>
      <c r="AJ35" s="161"/>
      <c r="AK35" s="117"/>
      <c r="AL35" s="117"/>
      <c r="AM35" s="117"/>
      <c r="AN35" s="117"/>
      <c r="AO35" s="117"/>
      <c r="AP35" s="117"/>
      <c r="AQ35" s="117"/>
      <c r="AR35" s="117"/>
      <c r="AS35" s="161"/>
      <c r="AT35" s="117"/>
      <c r="AU35" s="117"/>
    </row>
    <row r="36" spans="1:47" x14ac:dyDescent="0.2">
      <c r="B36" s="117"/>
      <c r="C36" s="117"/>
      <c r="D36" s="117"/>
      <c r="E36" s="117"/>
      <c r="F36" s="117"/>
      <c r="G36" s="117"/>
      <c r="H36" s="117"/>
      <c r="J36" s="117"/>
      <c r="K36" s="117"/>
      <c r="L36" s="117"/>
      <c r="M36" s="117"/>
      <c r="N36" s="117"/>
      <c r="O36" s="117"/>
      <c r="P36" s="117"/>
      <c r="Q36" s="117"/>
      <c r="R36" s="161"/>
      <c r="S36" s="117"/>
      <c r="T36" s="117"/>
      <c r="U36" s="117"/>
      <c r="V36" s="117"/>
      <c r="W36" s="117"/>
      <c r="X36" s="117"/>
      <c r="Y36" s="117"/>
      <c r="Z36" s="117"/>
      <c r="AA36" s="161"/>
      <c r="AB36" s="117"/>
      <c r="AC36" s="117"/>
      <c r="AD36" s="117"/>
      <c r="AE36" s="117"/>
      <c r="AF36" s="117"/>
      <c r="AG36" s="117"/>
      <c r="AH36" s="117"/>
      <c r="AI36" s="117"/>
      <c r="AJ36" s="161"/>
      <c r="AK36" s="117"/>
      <c r="AL36" s="117"/>
      <c r="AM36" s="117"/>
      <c r="AN36" s="117"/>
      <c r="AO36" s="117"/>
      <c r="AP36" s="117"/>
      <c r="AQ36" s="117"/>
      <c r="AR36" s="117"/>
      <c r="AS36" s="161"/>
      <c r="AT36" s="117"/>
      <c r="AU36" s="117"/>
    </row>
    <row r="37" spans="1:47" x14ac:dyDescent="0.2">
      <c r="B37" s="117"/>
      <c r="C37" s="117"/>
      <c r="D37" s="117"/>
      <c r="E37" s="117"/>
      <c r="F37" s="117"/>
      <c r="G37" s="117"/>
      <c r="H37" s="117"/>
      <c r="J37" s="117"/>
      <c r="K37" s="117"/>
      <c r="L37" s="117"/>
      <c r="M37" s="117"/>
      <c r="N37" s="117"/>
      <c r="O37" s="117"/>
      <c r="P37" s="117"/>
      <c r="Q37" s="117"/>
      <c r="R37" s="161"/>
      <c r="S37" s="117"/>
      <c r="T37" s="117"/>
      <c r="U37" s="117"/>
      <c r="V37" s="117"/>
      <c r="W37" s="117"/>
      <c r="X37" s="117"/>
      <c r="Y37" s="117"/>
      <c r="Z37" s="117"/>
      <c r="AA37" s="161"/>
      <c r="AB37" s="117"/>
      <c r="AC37" s="117"/>
      <c r="AD37" s="117"/>
      <c r="AE37" s="117"/>
      <c r="AF37" s="117"/>
      <c r="AG37" s="117"/>
      <c r="AH37" s="117"/>
      <c r="AI37" s="117"/>
      <c r="AJ37" s="161"/>
      <c r="AK37" s="117"/>
      <c r="AL37" s="117"/>
      <c r="AM37" s="117"/>
      <c r="AN37" s="117"/>
      <c r="AO37" s="117"/>
      <c r="AP37" s="117"/>
      <c r="AQ37" s="117"/>
      <c r="AR37" s="117"/>
      <c r="AS37" s="161"/>
      <c r="AT37" s="117"/>
      <c r="AU37" s="117"/>
    </row>
    <row r="38" spans="1:47" x14ac:dyDescent="0.2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27"/>
      <c r="AC38" s="120" t="s">
        <v>86</v>
      </c>
      <c r="AD38" s="120"/>
      <c r="AE38" s="120"/>
      <c r="AF38" s="120"/>
      <c r="AG38" s="120"/>
      <c r="AH38" s="120"/>
      <c r="AI38" s="120"/>
      <c r="AJ38" s="161"/>
      <c r="AK38" s="117"/>
      <c r="AL38" s="120" t="s">
        <v>54</v>
      </c>
      <c r="AM38" s="120"/>
      <c r="AN38" s="120"/>
      <c r="AO38" s="120"/>
      <c r="AP38" s="120"/>
      <c r="AQ38" s="120"/>
      <c r="AR38" s="120"/>
      <c r="AS38" s="161"/>
      <c r="AT38" s="117"/>
      <c r="AU38" s="117"/>
    </row>
    <row r="39" spans="1:47" x14ac:dyDescent="0.2">
      <c r="B39" s="117"/>
      <c r="C39" s="117"/>
      <c r="D39" s="117"/>
      <c r="E39" s="117"/>
      <c r="F39" s="117"/>
      <c r="G39" s="117"/>
      <c r="H39" s="117"/>
      <c r="J39" s="117"/>
      <c r="K39" s="117"/>
      <c r="L39" s="117"/>
      <c r="M39" s="117"/>
      <c r="N39" s="117"/>
      <c r="O39" s="117"/>
      <c r="P39" s="117"/>
      <c r="Q39" s="117"/>
      <c r="R39" s="161"/>
      <c r="S39" s="117"/>
      <c r="T39" s="117"/>
      <c r="U39" s="117"/>
      <c r="V39" s="117"/>
      <c r="W39" s="117"/>
      <c r="X39" s="117"/>
      <c r="Y39" s="117"/>
      <c r="Z39" s="117"/>
      <c r="AA39" s="161"/>
      <c r="AB39" s="128"/>
      <c r="AC39" s="128"/>
      <c r="AD39" s="128"/>
      <c r="AE39" s="128"/>
      <c r="AF39" s="128"/>
      <c r="AG39" s="128"/>
      <c r="AH39" s="128"/>
      <c r="AI39" s="128"/>
      <c r="AJ39" s="161"/>
      <c r="AK39" s="117"/>
      <c r="AL39" s="117"/>
      <c r="AM39" s="117"/>
      <c r="AN39" s="117"/>
      <c r="AO39" s="117"/>
      <c r="AP39" s="117"/>
      <c r="AQ39" s="117"/>
      <c r="AR39" s="117"/>
      <c r="AS39" s="161"/>
      <c r="AT39" s="117"/>
      <c r="AU39" s="117"/>
    </row>
    <row r="40" spans="1:47" x14ac:dyDescent="0.2">
      <c r="B40" s="117"/>
      <c r="C40" s="117"/>
      <c r="D40" s="117"/>
      <c r="E40" s="117"/>
      <c r="F40" s="117"/>
      <c r="G40" s="117"/>
      <c r="H40" s="117"/>
      <c r="J40" s="117"/>
      <c r="K40" s="117"/>
      <c r="L40" s="117"/>
      <c r="M40" s="117"/>
      <c r="N40" s="117"/>
      <c r="O40" s="117"/>
      <c r="P40" s="117"/>
      <c r="Q40" s="117"/>
      <c r="R40" s="161"/>
      <c r="S40" s="117"/>
      <c r="T40" s="117"/>
      <c r="U40" s="117"/>
      <c r="V40" s="117"/>
      <c r="W40" s="117"/>
      <c r="X40" s="117"/>
      <c r="Y40" s="117"/>
      <c r="Z40" s="117"/>
      <c r="AA40" s="161"/>
      <c r="AB40" s="128"/>
      <c r="AC40" s="128"/>
      <c r="AD40" s="128"/>
      <c r="AE40" s="128"/>
      <c r="AF40" s="128"/>
      <c r="AG40" s="128"/>
      <c r="AH40" s="128"/>
      <c r="AI40" s="128"/>
      <c r="AJ40" s="161"/>
      <c r="AK40" s="117"/>
      <c r="AL40" s="117"/>
      <c r="AM40" s="117"/>
      <c r="AN40" s="117"/>
      <c r="AO40" s="117"/>
      <c r="AP40" s="117"/>
      <c r="AQ40" s="117"/>
      <c r="AR40" s="117"/>
      <c r="AS40" s="161"/>
      <c r="AT40" s="117"/>
      <c r="AU40" s="117"/>
    </row>
    <row r="41" spans="1:47" x14ac:dyDescent="0.2">
      <c r="B41" s="117"/>
      <c r="C41" s="117"/>
      <c r="D41" s="117"/>
      <c r="E41" s="117"/>
      <c r="F41" s="117"/>
      <c r="G41" s="117"/>
      <c r="H41" s="117"/>
      <c r="J41" s="117"/>
      <c r="K41" s="117"/>
      <c r="L41" s="117"/>
      <c r="M41" s="117"/>
      <c r="N41" s="117"/>
      <c r="O41" s="117"/>
      <c r="P41" s="117"/>
      <c r="Q41" s="117"/>
      <c r="R41" s="161"/>
      <c r="S41" s="117"/>
      <c r="T41" s="117"/>
      <c r="U41" s="117"/>
      <c r="V41" s="117"/>
      <c r="W41" s="117"/>
      <c r="X41" s="117"/>
      <c r="Y41" s="117"/>
      <c r="Z41" s="117"/>
      <c r="AA41" s="161"/>
      <c r="AB41" s="128"/>
      <c r="AC41" s="128"/>
      <c r="AD41" s="128"/>
      <c r="AE41" s="128"/>
      <c r="AF41" s="128"/>
      <c r="AG41" s="128"/>
      <c r="AH41" s="128"/>
      <c r="AI41" s="128"/>
      <c r="AJ41" s="161"/>
      <c r="AK41" s="117"/>
      <c r="AL41" s="117"/>
      <c r="AM41" s="117"/>
      <c r="AN41" s="117"/>
      <c r="AO41" s="117"/>
      <c r="AP41" s="117"/>
      <c r="AQ41" s="117"/>
      <c r="AR41" s="117"/>
      <c r="AS41" s="161"/>
      <c r="AT41" s="117"/>
      <c r="AU41" s="117"/>
    </row>
    <row r="42" spans="1:47" x14ac:dyDescent="0.2">
      <c r="B42" s="117"/>
      <c r="C42" s="117"/>
      <c r="D42" s="117"/>
      <c r="E42" s="117"/>
      <c r="F42" s="117"/>
      <c r="G42" s="117"/>
      <c r="H42" s="117"/>
      <c r="J42" s="117"/>
      <c r="K42" s="117"/>
      <c r="L42" s="117"/>
      <c r="M42" s="117"/>
      <c r="N42" s="117"/>
      <c r="O42" s="117"/>
      <c r="P42" s="117"/>
      <c r="Q42" s="117"/>
      <c r="R42" s="161"/>
      <c r="S42" s="117"/>
      <c r="T42" s="117"/>
      <c r="U42" s="117"/>
      <c r="V42" s="117"/>
      <c r="W42" s="117"/>
      <c r="X42" s="117"/>
      <c r="Y42" s="117"/>
      <c r="Z42" s="117"/>
      <c r="AA42" s="161"/>
      <c r="AB42" s="128"/>
      <c r="AC42" s="128"/>
      <c r="AD42" s="128"/>
      <c r="AE42" s="128"/>
      <c r="AF42" s="128"/>
      <c r="AG42" s="128"/>
      <c r="AH42" s="128"/>
      <c r="AI42" s="128"/>
      <c r="AJ42" s="161"/>
      <c r="AK42" s="117"/>
      <c r="AL42" s="117"/>
      <c r="AM42" s="117"/>
      <c r="AN42" s="117"/>
      <c r="AO42" s="117"/>
      <c r="AP42" s="117"/>
      <c r="AQ42" s="117"/>
      <c r="AR42" s="117"/>
      <c r="AS42" s="161"/>
      <c r="AT42" s="117"/>
      <c r="AU42" s="117"/>
    </row>
    <row r="43" spans="1:47" x14ac:dyDescent="0.2">
      <c r="B43" s="117"/>
      <c r="C43" s="117"/>
      <c r="D43" s="117"/>
      <c r="E43" s="117"/>
      <c r="F43" s="117"/>
      <c r="G43" s="117"/>
      <c r="H43" s="117"/>
      <c r="J43" s="117"/>
      <c r="K43" s="117"/>
      <c r="L43" s="117"/>
      <c r="M43" s="117"/>
      <c r="N43" s="117"/>
      <c r="O43" s="117"/>
      <c r="P43" s="117"/>
      <c r="Q43" s="117"/>
      <c r="R43" s="161"/>
      <c r="S43" s="117"/>
      <c r="T43" s="117"/>
      <c r="U43" s="117"/>
      <c r="V43" s="117"/>
      <c r="W43" s="117"/>
      <c r="X43" s="117"/>
      <c r="Y43" s="117"/>
      <c r="Z43" s="117"/>
      <c r="AA43" s="161"/>
      <c r="AB43" s="128"/>
      <c r="AC43" s="128"/>
      <c r="AD43" s="128"/>
      <c r="AE43" s="128"/>
      <c r="AF43" s="128"/>
      <c r="AG43" s="128"/>
      <c r="AH43" s="128"/>
      <c r="AI43" s="128"/>
      <c r="AJ43" s="161"/>
      <c r="AK43" s="117"/>
      <c r="AL43" s="117"/>
      <c r="AM43" s="117"/>
      <c r="AN43" s="117"/>
      <c r="AO43" s="117"/>
      <c r="AP43" s="117"/>
      <c r="AQ43" s="117"/>
      <c r="AR43" s="117"/>
      <c r="AS43" s="161"/>
      <c r="AT43" s="117"/>
      <c r="AU43" s="117"/>
    </row>
    <row r="44" spans="1:47" x14ac:dyDescent="0.2">
      <c r="B44" s="117"/>
      <c r="C44" s="117"/>
      <c r="D44" s="117"/>
      <c r="E44" s="117"/>
      <c r="F44" s="117"/>
      <c r="G44" s="117"/>
      <c r="H44" s="117"/>
      <c r="J44" s="117"/>
      <c r="K44" s="117"/>
      <c r="L44" s="117"/>
      <c r="M44" s="117"/>
      <c r="N44" s="117"/>
      <c r="O44" s="117"/>
      <c r="P44" s="117"/>
      <c r="Q44" s="117"/>
      <c r="R44" s="161"/>
      <c r="S44" s="117"/>
      <c r="T44" s="117"/>
      <c r="U44" s="117"/>
      <c r="V44" s="117"/>
      <c r="W44" s="117"/>
      <c r="X44" s="117"/>
      <c r="Y44" s="117"/>
      <c r="Z44" s="117"/>
      <c r="AA44" s="161"/>
      <c r="AB44" s="128"/>
      <c r="AC44" s="128"/>
      <c r="AD44" s="128"/>
      <c r="AE44" s="128"/>
      <c r="AF44" s="128"/>
      <c r="AG44" s="128"/>
      <c r="AH44" s="128"/>
      <c r="AI44" s="128"/>
      <c r="AJ44" s="161"/>
      <c r="AK44" s="117"/>
      <c r="AL44" s="117"/>
      <c r="AM44" s="117"/>
      <c r="AN44" s="117"/>
      <c r="AO44" s="117"/>
      <c r="AP44" s="117"/>
      <c r="AQ44" s="117"/>
      <c r="AR44" s="117"/>
      <c r="AS44" s="161"/>
      <c r="AT44" s="117"/>
      <c r="AU44" s="117"/>
    </row>
    <row r="45" spans="1:47" x14ac:dyDescent="0.2">
      <c r="B45" s="117"/>
      <c r="C45" s="117"/>
      <c r="D45" s="117"/>
      <c r="E45" s="117"/>
      <c r="F45" s="117"/>
      <c r="G45" s="117"/>
      <c r="H45" s="117"/>
      <c r="J45" s="117"/>
      <c r="K45" s="117"/>
      <c r="L45" s="117"/>
      <c r="M45" s="117"/>
      <c r="N45" s="117"/>
      <c r="O45" s="117"/>
      <c r="P45" s="117"/>
      <c r="Q45" s="117"/>
      <c r="R45" s="161"/>
      <c r="S45" s="117"/>
      <c r="T45" s="117"/>
      <c r="U45" s="117"/>
      <c r="V45" s="117"/>
      <c r="W45" s="117"/>
      <c r="X45" s="117"/>
      <c r="Y45" s="117"/>
      <c r="Z45" s="117"/>
      <c r="AA45" s="161"/>
      <c r="AB45" s="128"/>
      <c r="AC45" s="128"/>
      <c r="AD45" s="128"/>
      <c r="AE45" s="128"/>
      <c r="AF45" s="128"/>
      <c r="AG45" s="128"/>
      <c r="AH45" s="128"/>
      <c r="AI45" s="128"/>
      <c r="AJ45" s="161"/>
      <c r="AK45" s="117"/>
      <c r="AL45" s="117"/>
      <c r="AM45" s="117"/>
      <c r="AN45" s="117"/>
      <c r="AO45" s="117"/>
      <c r="AP45" s="117"/>
      <c r="AQ45" s="117"/>
      <c r="AR45" s="117"/>
      <c r="AS45" s="161"/>
      <c r="AT45" s="117"/>
      <c r="AU45" s="117"/>
    </row>
    <row r="46" spans="1:47" x14ac:dyDescent="0.2"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61"/>
      <c r="S46" s="117"/>
      <c r="T46" s="117"/>
      <c r="U46" s="117"/>
      <c r="V46" s="117"/>
      <c r="W46" s="117"/>
      <c r="X46" s="117"/>
      <c r="Y46" s="117"/>
      <c r="Z46" s="117"/>
      <c r="AA46" s="161"/>
      <c r="AB46" s="128"/>
      <c r="AC46" s="128"/>
      <c r="AD46" s="128"/>
      <c r="AE46" s="128"/>
      <c r="AF46" s="128"/>
      <c r="AG46" s="128"/>
      <c r="AH46" s="128"/>
      <c r="AI46" s="128"/>
      <c r="AJ46" s="128"/>
      <c r="AK46" s="117"/>
      <c r="AL46" s="117"/>
      <c r="AM46" s="117"/>
      <c r="AN46" s="117"/>
      <c r="AO46" s="117"/>
      <c r="AP46" s="117"/>
      <c r="AQ46" s="117"/>
      <c r="AR46" s="117"/>
      <c r="AS46" s="161"/>
      <c r="AT46" s="117"/>
      <c r="AU46" s="117"/>
    </row>
    <row r="47" spans="1:47" x14ac:dyDescent="0.2"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61"/>
      <c r="S47" s="117"/>
      <c r="T47" s="117"/>
      <c r="U47" s="117"/>
      <c r="V47" s="117"/>
      <c r="W47" s="117"/>
      <c r="X47" s="117"/>
      <c r="Y47" s="117"/>
      <c r="Z47" s="117"/>
      <c r="AA47" s="161"/>
      <c r="AB47" s="128"/>
      <c r="AC47" s="128"/>
      <c r="AD47" s="128"/>
      <c r="AE47" s="128"/>
      <c r="AF47" s="128"/>
      <c r="AG47" s="128"/>
      <c r="AH47" s="128"/>
      <c r="AI47" s="128"/>
      <c r="AJ47" s="128"/>
      <c r="AK47" s="117"/>
      <c r="AL47" s="117"/>
      <c r="AM47" s="117"/>
      <c r="AN47" s="117"/>
      <c r="AO47" s="117"/>
      <c r="AP47" s="117"/>
      <c r="AQ47" s="117"/>
      <c r="AR47" s="117"/>
      <c r="AS47" s="161"/>
      <c r="AT47" s="117"/>
      <c r="AU47" s="117"/>
    </row>
    <row r="48" spans="1:47" x14ac:dyDescent="0.2"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61"/>
      <c r="S48" s="117"/>
      <c r="T48" s="117"/>
      <c r="U48" s="117"/>
      <c r="V48" s="117"/>
      <c r="W48" s="117"/>
      <c r="X48" s="117"/>
      <c r="Y48" s="117"/>
      <c r="Z48" s="117"/>
      <c r="AA48" s="161"/>
      <c r="AB48" s="128"/>
      <c r="AC48" s="128"/>
      <c r="AD48" s="128"/>
      <c r="AE48" s="128"/>
      <c r="AF48" s="128"/>
      <c r="AG48" s="128"/>
      <c r="AH48" s="128"/>
      <c r="AI48" s="128"/>
      <c r="AJ48" s="128"/>
      <c r="AK48" s="117"/>
      <c r="AL48" s="117"/>
      <c r="AM48" s="117"/>
      <c r="AN48" s="117"/>
      <c r="AO48" s="117"/>
      <c r="AP48" s="117"/>
      <c r="AQ48" s="117"/>
      <c r="AR48" s="117"/>
      <c r="AS48" s="161"/>
      <c r="AT48" s="117"/>
      <c r="AU48" s="117"/>
    </row>
    <row r="49" spans="2:47" x14ac:dyDescent="0.2"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61"/>
      <c r="S49" s="117"/>
      <c r="T49" s="117"/>
      <c r="U49" s="117"/>
      <c r="V49" s="117"/>
      <c r="W49" s="117"/>
      <c r="X49" s="117"/>
      <c r="Y49" s="117"/>
      <c r="Z49" s="117"/>
      <c r="AA49" s="161"/>
      <c r="AB49" s="128"/>
      <c r="AC49" s="128"/>
      <c r="AD49" s="128"/>
      <c r="AE49" s="128"/>
      <c r="AF49" s="128"/>
      <c r="AG49" s="128"/>
      <c r="AH49" s="128"/>
      <c r="AI49" s="128"/>
      <c r="AJ49" s="128"/>
      <c r="AK49" s="117"/>
      <c r="AL49" s="117"/>
      <c r="AM49" s="117"/>
      <c r="AN49" s="117"/>
      <c r="AO49" s="117"/>
      <c r="AP49" s="117"/>
      <c r="AQ49" s="117"/>
      <c r="AR49" s="117"/>
      <c r="AS49" s="161"/>
      <c r="AT49" s="117"/>
      <c r="AU49" s="117"/>
    </row>
    <row r="50" spans="2:47" x14ac:dyDescent="0.2"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61"/>
      <c r="S50" s="117"/>
      <c r="T50" s="117"/>
      <c r="U50" s="117"/>
      <c r="V50" s="117"/>
      <c r="W50" s="117"/>
      <c r="X50" s="117"/>
      <c r="Y50" s="117"/>
      <c r="Z50" s="117"/>
      <c r="AA50" s="161"/>
      <c r="AB50" s="128"/>
      <c r="AC50" s="128"/>
      <c r="AD50" s="128"/>
      <c r="AE50" s="128"/>
      <c r="AF50" s="128"/>
      <c r="AG50" s="128"/>
      <c r="AH50" s="128"/>
      <c r="AI50" s="128"/>
      <c r="AJ50" s="128"/>
      <c r="AK50" s="117"/>
      <c r="AL50" s="117"/>
      <c r="AM50" s="117"/>
      <c r="AN50" s="117"/>
      <c r="AO50" s="117"/>
      <c r="AP50" s="117"/>
      <c r="AQ50" s="117"/>
      <c r="AR50" s="117"/>
      <c r="AS50" s="161"/>
      <c r="AT50" s="117"/>
      <c r="AU50" s="117"/>
    </row>
    <row r="51" spans="2:47" x14ac:dyDescent="0.2"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61"/>
      <c r="S51" s="117"/>
      <c r="T51" s="117"/>
      <c r="U51" s="117"/>
      <c r="V51" s="117"/>
      <c r="W51" s="117"/>
      <c r="X51" s="117"/>
      <c r="Y51" s="117"/>
      <c r="Z51" s="117"/>
      <c r="AA51" s="161"/>
      <c r="AB51" s="128"/>
      <c r="AC51" s="128"/>
      <c r="AD51" s="128"/>
      <c r="AE51" s="128"/>
      <c r="AF51" s="128"/>
      <c r="AG51" s="128"/>
      <c r="AH51" s="128"/>
      <c r="AI51" s="128"/>
      <c r="AJ51" s="128"/>
      <c r="AK51" s="117"/>
      <c r="AL51" s="117"/>
      <c r="AM51" s="117"/>
      <c r="AN51" s="117"/>
      <c r="AO51" s="117"/>
      <c r="AP51" s="117"/>
      <c r="AQ51" s="117"/>
      <c r="AR51" s="117"/>
      <c r="AS51" s="161"/>
      <c r="AT51" s="117"/>
      <c r="AU51" s="117"/>
    </row>
    <row r="52" spans="2:47" x14ac:dyDescent="0.2"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61"/>
      <c r="S52" s="117"/>
      <c r="T52" s="117"/>
      <c r="U52" s="117"/>
      <c r="V52" s="117"/>
      <c r="W52" s="117"/>
      <c r="X52" s="117"/>
      <c r="Y52" s="117"/>
      <c r="Z52" s="117"/>
      <c r="AA52" s="161"/>
      <c r="AB52" s="128"/>
      <c r="AC52" s="128"/>
      <c r="AD52" s="128"/>
      <c r="AE52" s="128"/>
      <c r="AF52" s="128"/>
      <c r="AG52" s="128"/>
      <c r="AH52" s="128"/>
      <c r="AI52" s="128"/>
      <c r="AJ52" s="128"/>
      <c r="AK52" s="117"/>
      <c r="AL52" s="117"/>
      <c r="AM52" s="117"/>
      <c r="AN52" s="117"/>
      <c r="AO52" s="117"/>
      <c r="AP52" s="117"/>
      <c r="AQ52" s="117"/>
      <c r="AR52" s="117"/>
      <c r="AS52" s="161"/>
      <c r="AT52" s="117"/>
      <c r="AU52" s="117"/>
    </row>
    <row r="53" spans="2:47" x14ac:dyDescent="0.2"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61"/>
      <c r="S53" s="117"/>
      <c r="T53" s="117"/>
      <c r="U53" s="117"/>
      <c r="V53" s="117"/>
      <c r="W53" s="117"/>
      <c r="X53" s="117"/>
      <c r="Y53" s="117"/>
      <c r="Z53" s="117"/>
      <c r="AA53" s="161"/>
      <c r="AB53" s="128"/>
      <c r="AC53" s="128"/>
      <c r="AD53" s="128"/>
      <c r="AE53" s="128"/>
      <c r="AF53" s="128"/>
      <c r="AG53" s="128"/>
      <c r="AH53" s="128"/>
      <c r="AI53" s="128"/>
      <c r="AJ53" s="128"/>
      <c r="AK53" s="117"/>
      <c r="AL53" s="117"/>
      <c r="AM53" s="117"/>
      <c r="AN53" s="117"/>
      <c r="AO53" s="117"/>
      <c r="AP53" s="117"/>
      <c r="AQ53" s="117"/>
      <c r="AR53" s="117"/>
      <c r="AS53" s="161"/>
      <c r="AT53" s="117"/>
      <c r="AU53" s="117"/>
    </row>
    <row r="54" spans="2:47" x14ac:dyDescent="0.2"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61"/>
      <c r="S54" s="117"/>
      <c r="T54" s="117"/>
      <c r="U54" s="117"/>
      <c r="V54" s="117"/>
      <c r="W54" s="117"/>
      <c r="X54" s="117"/>
      <c r="Y54" s="117"/>
      <c r="Z54" s="117"/>
      <c r="AA54" s="161"/>
      <c r="AB54" s="128"/>
      <c r="AC54" s="128"/>
      <c r="AD54" s="128"/>
      <c r="AE54" s="128"/>
      <c r="AF54" s="128"/>
      <c r="AG54" s="128"/>
      <c r="AH54" s="128"/>
      <c r="AI54" s="128"/>
      <c r="AJ54" s="128"/>
      <c r="AK54" s="117"/>
      <c r="AL54" s="117"/>
      <c r="AM54" s="117"/>
      <c r="AN54" s="117"/>
      <c r="AO54" s="117"/>
      <c r="AP54" s="117"/>
      <c r="AQ54" s="117"/>
      <c r="AR54" s="117"/>
      <c r="AS54" s="161"/>
      <c r="AT54" s="117"/>
      <c r="AU54" s="117"/>
    </row>
    <row r="55" spans="2:47" x14ac:dyDescent="0.2"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61"/>
      <c r="S55" s="117"/>
      <c r="T55" s="117"/>
      <c r="U55" s="117"/>
      <c r="V55" s="117"/>
      <c r="W55" s="117"/>
      <c r="X55" s="117"/>
      <c r="Y55" s="117"/>
      <c r="Z55" s="117"/>
      <c r="AA55" s="161"/>
      <c r="AB55" s="128"/>
      <c r="AC55" s="128"/>
      <c r="AD55" s="128"/>
      <c r="AE55" s="128"/>
      <c r="AF55" s="128"/>
      <c r="AG55" s="128"/>
      <c r="AH55" s="128"/>
      <c r="AI55" s="128"/>
      <c r="AJ55" s="128"/>
      <c r="AK55" s="117"/>
      <c r="AL55" s="117"/>
      <c r="AM55" s="117"/>
      <c r="AN55" s="117"/>
      <c r="AO55" s="117"/>
      <c r="AP55" s="117"/>
      <c r="AQ55" s="117"/>
      <c r="AR55" s="117"/>
      <c r="AS55" s="161"/>
      <c r="AT55" s="117"/>
      <c r="AU55" s="117"/>
    </row>
    <row r="56" spans="2:47" x14ac:dyDescent="0.2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161"/>
      <c r="AB56" s="145"/>
      <c r="AC56" s="128"/>
      <c r="AD56" s="128"/>
      <c r="AE56" s="128"/>
      <c r="AF56" s="128"/>
      <c r="AG56" s="128"/>
      <c r="AH56" s="128"/>
      <c r="AI56" s="128"/>
      <c r="AJ56" s="128"/>
      <c r="AK56" s="117"/>
      <c r="AL56" s="117"/>
      <c r="AM56" s="117"/>
      <c r="AN56" s="117"/>
      <c r="AO56" s="117"/>
      <c r="AP56" s="117"/>
      <c r="AQ56" s="117"/>
      <c r="AR56" s="117"/>
      <c r="AS56" s="161"/>
      <c r="AT56" s="117"/>
      <c r="AU56" s="117"/>
    </row>
    <row r="57" spans="2:47" x14ac:dyDescent="0.2"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61"/>
      <c r="S57" s="117"/>
      <c r="T57" s="117"/>
      <c r="U57" s="117"/>
      <c r="V57" s="117"/>
      <c r="W57" s="117"/>
      <c r="X57" s="117"/>
      <c r="Y57" s="117"/>
      <c r="Z57" s="117"/>
      <c r="AA57" s="161"/>
      <c r="AB57" s="128"/>
      <c r="AC57" s="128"/>
      <c r="AD57" s="128"/>
      <c r="AE57" s="128"/>
      <c r="AF57" s="128"/>
      <c r="AG57" s="128"/>
      <c r="AH57" s="128"/>
      <c r="AI57" s="128"/>
      <c r="AJ57" s="128"/>
      <c r="AK57" s="117"/>
      <c r="AS57" s="161"/>
      <c r="AT57" s="117"/>
      <c r="AU57" s="117"/>
    </row>
    <row r="58" spans="2:47" x14ac:dyDescent="0.2"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61"/>
      <c r="S58" s="117"/>
      <c r="T58" s="117"/>
      <c r="U58" s="117"/>
      <c r="V58" s="117"/>
      <c r="W58" s="117"/>
      <c r="X58" s="117"/>
      <c r="Y58" s="117"/>
      <c r="Z58" s="117"/>
      <c r="AA58" s="161"/>
      <c r="AB58" s="128"/>
      <c r="AC58" s="128"/>
      <c r="AD58" s="128"/>
      <c r="AE58" s="128"/>
      <c r="AF58" s="128"/>
      <c r="AG58" s="128"/>
      <c r="AH58" s="128"/>
      <c r="AI58" s="128"/>
      <c r="AJ58" s="128"/>
      <c r="AK58" s="117"/>
      <c r="AL58" s="117"/>
      <c r="AM58" s="117"/>
      <c r="AN58" s="117"/>
      <c r="AO58" s="117"/>
      <c r="AP58" s="117"/>
      <c r="AQ58" s="117"/>
      <c r="AR58" s="117"/>
      <c r="AS58" s="161"/>
      <c r="AT58" s="117"/>
      <c r="AU58" s="117"/>
    </row>
    <row r="59" spans="2:47" x14ac:dyDescent="0.2"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28"/>
      <c r="AC59" s="128"/>
      <c r="AD59" s="128"/>
      <c r="AE59" s="128"/>
      <c r="AF59" s="128"/>
      <c r="AG59" s="128"/>
      <c r="AH59" s="128"/>
      <c r="AI59" s="128"/>
      <c r="AJ59" s="128"/>
      <c r="AK59" s="117"/>
      <c r="AL59" s="117"/>
      <c r="AM59" s="117"/>
      <c r="AN59" s="117"/>
      <c r="AO59" s="117"/>
      <c r="AP59" s="117"/>
      <c r="AQ59" s="117"/>
      <c r="AR59" s="117"/>
      <c r="AS59" s="161"/>
      <c r="AT59" s="117"/>
      <c r="AU59" s="117"/>
    </row>
    <row r="60" spans="2:47" x14ac:dyDescent="0.2"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28"/>
      <c r="AC60" s="128"/>
      <c r="AD60" s="128"/>
      <c r="AE60" s="128"/>
      <c r="AF60" s="128"/>
      <c r="AG60" s="128"/>
      <c r="AH60" s="128"/>
      <c r="AI60" s="128"/>
      <c r="AJ60" s="128"/>
      <c r="AK60" s="117"/>
      <c r="AL60" s="117"/>
      <c r="AM60" s="117"/>
      <c r="AN60" s="117"/>
      <c r="AO60" s="117"/>
      <c r="AP60" s="117"/>
      <c r="AQ60" s="117"/>
      <c r="AR60" s="117"/>
      <c r="AS60" s="161"/>
      <c r="AT60" s="117"/>
      <c r="AU60" s="117"/>
    </row>
    <row r="61" spans="2:47" x14ac:dyDescent="0.2"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28"/>
      <c r="AC61" s="128"/>
      <c r="AD61" s="128"/>
      <c r="AE61" s="128"/>
      <c r="AF61" s="128"/>
      <c r="AG61" s="128"/>
      <c r="AH61" s="128"/>
      <c r="AI61" s="128"/>
      <c r="AJ61" s="128"/>
      <c r="AK61" s="117"/>
      <c r="AL61" s="117"/>
      <c r="AM61" s="117"/>
      <c r="AN61" s="117"/>
      <c r="AO61" s="117"/>
      <c r="AP61" s="117"/>
      <c r="AQ61" s="117"/>
      <c r="AR61" s="117"/>
      <c r="AS61" s="161"/>
      <c r="AT61" s="117"/>
      <c r="AU61" s="117"/>
    </row>
    <row r="62" spans="2:47" x14ac:dyDescent="0.2"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28"/>
      <c r="AC62" s="128"/>
      <c r="AD62" s="128"/>
      <c r="AE62" s="128"/>
      <c r="AF62" s="128"/>
      <c r="AG62" s="128"/>
      <c r="AH62" s="128"/>
      <c r="AI62" s="128"/>
      <c r="AJ62" s="128"/>
      <c r="AK62" s="117"/>
      <c r="AL62" s="117"/>
      <c r="AM62" s="117"/>
      <c r="AN62" s="117"/>
      <c r="AO62" s="117"/>
      <c r="AP62" s="117"/>
      <c r="AQ62" s="117"/>
      <c r="AR62" s="117"/>
      <c r="AS62" s="161"/>
      <c r="AT62" s="117"/>
      <c r="AU62" s="117"/>
    </row>
    <row r="63" spans="2:47" x14ac:dyDescent="0.2"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28"/>
      <c r="AC63" s="128"/>
      <c r="AD63" s="128"/>
      <c r="AE63" s="128"/>
      <c r="AF63" s="128"/>
      <c r="AG63" s="128"/>
      <c r="AH63" s="128"/>
      <c r="AI63" s="128"/>
      <c r="AJ63" s="128"/>
      <c r="AK63" s="117"/>
      <c r="AL63" s="117"/>
      <c r="AM63" s="117"/>
      <c r="AN63" s="117"/>
      <c r="AO63" s="117"/>
      <c r="AP63" s="117"/>
      <c r="AQ63" s="117"/>
      <c r="AR63" s="117"/>
      <c r="AS63" s="161"/>
      <c r="AT63" s="117"/>
      <c r="AU63" s="117"/>
    </row>
    <row r="64" spans="2:47" x14ac:dyDescent="0.2"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61"/>
      <c r="AT64" s="117"/>
      <c r="AU64" s="117"/>
    </row>
    <row r="65" spans="2:47" x14ac:dyDescent="0.2"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61"/>
      <c r="AT65" s="117"/>
      <c r="AU65" s="117"/>
    </row>
    <row r="66" spans="2:47" x14ac:dyDescent="0.2"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</row>
    <row r="67" spans="2:47" x14ac:dyDescent="0.2"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</row>
    <row r="68" spans="2:47" x14ac:dyDescent="0.2"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</row>
    <row r="69" spans="2:47" x14ac:dyDescent="0.2"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</row>
    <row r="70" spans="2:47" x14ac:dyDescent="0.2"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28"/>
      <c r="AD70" s="128"/>
      <c r="AE70" s="128"/>
      <c r="AF70" s="128"/>
      <c r="AG70" s="128"/>
      <c r="AH70" s="128"/>
      <c r="AI70" s="128"/>
      <c r="AJ70" s="128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</row>
    <row r="71" spans="2:47" x14ac:dyDescent="0.2"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28"/>
      <c r="AD71" s="128"/>
      <c r="AE71" s="128"/>
      <c r="AF71" s="128"/>
      <c r="AG71" s="128"/>
      <c r="AH71" s="128"/>
      <c r="AI71" s="128"/>
      <c r="AJ71" s="128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</row>
    <row r="72" spans="2:47" x14ac:dyDescent="0.2">
      <c r="AC72" s="128"/>
      <c r="AD72" s="128"/>
      <c r="AE72" s="128"/>
      <c r="AF72" s="128"/>
      <c r="AG72" s="128"/>
      <c r="AH72" s="128"/>
      <c r="AI72" s="128"/>
      <c r="AJ72" s="128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</row>
    <row r="73" spans="2:47" x14ac:dyDescent="0.2">
      <c r="AC73" s="128"/>
      <c r="AD73" s="128"/>
      <c r="AE73" s="128"/>
      <c r="AF73" s="128"/>
      <c r="AG73" s="128"/>
      <c r="AH73" s="128"/>
      <c r="AI73" s="128"/>
      <c r="AJ73" s="128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</row>
    <row r="74" spans="2:47" x14ac:dyDescent="0.2">
      <c r="AC74" s="128"/>
      <c r="AD74" s="128"/>
      <c r="AE74" s="128"/>
      <c r="AF74" s="128"/>
      <c r="AG74" s="128"/>
      <c r="AH74" s="128"/>
      <c r="AI74" s="128"/>
      <c r="AJ74" s="128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</row>
    <row r="75" spans="2:47" x14ac:dyDescent="0.2">
      <c r="AC75" s="128"/>
      <c r="AD75" s="128"/>
      <c r="AE75" s="128"/>
      <c r="AF75" s="128"/>
      <c r="AG75" s="128"/>
      <c r="AH75" s="128"/>
      <c r="AI75" s="128"/>
      <c r="AJ75" s="128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</row>
    <row r="76" spans="2:47" x14ac:dyDescent="0.2">
      <c r="AC76" s="128"/>
      <c r="AD76" s="128"/>
      <c r="AE76" s="128"/>
      <c r="AF76" s="128"/>
      <c r="AG76" s="128"/>
      <c r="AH76" s="128"/>
      <c r="AI76" s="128"/>
      <c r="AJ76" s="128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</row>
    <row r="77" spans="2:47" x14ac:dyDescent="0.2">
      <c r="AC77" s="128"/>
      <c r="AD77" s="128"/>
      <c r="AE77" s="128"/>
      <c r="AF77" s="128"/>
      <c r="AG77" s="128"/>
      <c r="AH77" s="128"/>
      <c r="AI77" s="128"/>
      <c r="AJ77" s="128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</row>
    <row r="78" spans="2:47" x14ac:dyDescent="0.2">
      <c r="AC78" s="128"/>
      <c r="AD78" s="128"/>
      <c r="AE78" s="128"/>
      <c r="AF78" s="128"/>
      <c r="AG78" s="128"/>
      <c r="AH78" s="128"/>
      <c r="AI78" s="128"/>
      <c r="AJ78" s="128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</row>
    <row r="79" spans="2:47" x14ac:dyDescent="0.2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28"/>
      <c r="AD79" s="128"/>
      <c r="AE79" s="128"/>
      <c r="AF79" s="128"/>
      <c r="AG79" s="128"/>
      <c r="AH79" s="128"/>
      <c r="AI79" s="128"/>
      <c r="AJ79" s="128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</row>
    <row r="80" spans="2:47" x14ac:dyDescent="0.2"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28"/>
      <c r="AD80" s="128"/>
      <c r="AE80" s="128"/>
      <c r="AF80" s="128"/>
      <c r="AG80" s="128"/>
      <c r="AH80" s="128"/>
      <c r="AI80" s="128"/>
      <c r="AJ80" s="128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</row>
    <row r="81" spans="2:47" x14ac:dyDescent="0.2"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28"/>
      <c r="AD81" s="128"/>
      <c r="AE81" s="128"/>
      <c r="AF81" s="128"/>
      <c r="AG81" s="128"/>
      <c r="AH81" s="128"/>
      <c r="AI81" s="128"/>
      <c r="AJ81" s="128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</row>
    <row r="82" spans="2:47" x14ac:dyDescent="0.2"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28"/>
      <c r="AD82" s="128"/>
      <c r="AE82" s="128"/>
      <c r="AF82" s="128"/>
      <c r="AG82" s="128"/>
      <c r="AH82" s="128"/>
      <c r="AI82" s="128"/>
      <c r="AJ82" s="128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</row>
    <row r="83" spans="2:47" x14ac:dyDescent="0.2"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28"/>
      <c r="AD83" s="128"/>
      <c r="AE83" s="128"/>
      <c r="AF83" s="128"/>
      <c r="AG83" s="128"/>
      <c r="AH83" s="128"/>
      <c r="AI83" s="128"/>
      <c r="AJ83" s="128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</row>
    <row r="84" spans="2:47" x14ac:dyDescent="0.2"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28"/>
      <c r="AD84" s="128"/>
      <c r="AE84" s="128"/>
      <c r="AF84" s="128"/>
      <c r="AG84" s="128"/>
      <c r="AH84" s="128"/>
      <c r="AI84" s="128"/>
      <c r="AJ84" s="128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</row>
    <row r="85" spans="2:47" x14ac:dyDescent="0.2">
      <c r="B85" s="118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28"/>
      <c r="AD85" s="128"/>
      <c r="AE85" s="128"/>
      <c r="AF85" s="128"/>
      <c r="AG85" s="128"/>
      <c r="AH85" s="128"/>
      <c r="AI85" s="128"/>
      <c r="AJ85" s="128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</row>
    <row r="86" spans="2:47" x14ac:dyDescent="0.2"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28"/>
      <c r="AD86" s="128"/>
      <c r="AE86" s="128"/>
      <c r="AF86" s="128"/>
      <c r="AG86" s="128"/>
      <c r="AH86" s="128"/>
      <c r="AI86" s="128"/>
      <c r="AJ86" s="128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</row>
    <row r="87" spans="2:47" x14ac:dyDescent="0.2"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28"/>
      <c r="AD87" s="128"/>
      <c r="AE87" s="128"/>
      <c r="AF87" s="128"/>
      <c r="AG87" s="128"/>
      <c r="AH87" s="128"/>
      <c r="AI87" s="128"/>
      <c r="AJ87" s="128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</row>
    <row r="88" spans="2:47" x14ac:dyDescent="0.2"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28"/>
      <c r="AD88" s="128"/>
      <c r="AE88" s="128"/>
      <c r="AF88" s="128"/>
      <c r="AG88" s="128"/>
      <c r="AH88" s="128"/>
      <c r="AI88" s="128"/>
      <c r="AJ88" s="128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</row>
    <row r="89" spans="2:47" x14ac:dyDescent="0.2"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8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28"/>
      <c r="AD89" s="128"/>
      <c r="AE89" s="128"/>
      <c r="AF89" s="128"/>
      <c r="AG89" s="128"/>
      <c r="AH89" s="128"/>
      <c r="AI89" s="128"/>
      <c r="AJ89" s="128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</row>
    <row r="90" spans="2:47" x14ac:dyDescent="0.2"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8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28"/>
      <c r="AD90" s="128"/>
      <c r="AE90" s="128"/>
      <c r="AF90" s="128"/>
      <c r="AG90" s="128"/>
      <c r="AH90" s="128"/>
      <c r="AI90" s="128"/>
      <c r="AJ90" s="128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</row>
    <row r="91" spans="2:47" x14ac:dyDescent="0.2"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8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28"/>
      <c r="AD91" s="128"/>
      <c r="AE91" s="128"/>
      <c r="AF91" s="128"/>
      <c r="AG91" s="128"/>
      <c r="AH91" s="128"/>
      <c r="AI91" s="128"/>
      <c r="AJ91" s="128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</row>
    <row r="92" spans="2:47" x14ac:dyDescent="0.2"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8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28"/>
      <c r="AD92" s="128"/>
      <c r="AE92" s="128"/>
      <c r="AF92" s="128"/>
      <c r="AG92" s="128"/>
      <c r="AH92" s="128"/>
      <c r="AI92" s="128"/>
      <c r="AJ92" s="128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</row>
    <row r="93" spans="2:47" x14ac:dyDescent="0.2"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8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28"/>
      <c r="AD93" s="128"/>
      <c r="AE93" s="128"/>
      <c r="AF93" s="128"/>
      <c r="AG93" s="128"/>
      <c r="AH93" s="128"/>
      <c r="AI93" s="128"/>
      <c r="AJ93" s="128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</row>
    <row r="94" spans="2:47" x14ac:dyDescent="0.2"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8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28"/>
      <c r="AD94" s="128"/>
      <c r="AE94" s="128"/>
      <c r="AF94" s="128"/>
      <c r="AG94" s="128"/>
      <c r="AH94" s="128"/>
      <c r="AI94" s="128"/>
      <c r="AJ94" s="128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</row>
    <row r="95" spans="2:47" x14ac:dyDescent="0.2">
      <c r="AC95" s="90"/>
      <c r="AD95" s="90"/>
      <c r="AE95" s="90"/>
      <c r="AF95" s="90"/>
      <c r="AG95" s="90"/>
      <c r="AH95" s="90"/>
      <c r="AI95" s="90"/>
      <c r="AJ95" s="90"/>
    </row>
    <row r="96" spans="2:47" x14ac:dyDescent="0.2">
      <c r="AC96" s="90"/>
      <c r="AD96" s="90"/>
      <c r="AE96" s="90"/>
      <c r="AF96" s="90"/>
      <c r="AG96" s="90"/>
      <c r="AH96" s="90"/>
      <c r="AI96" s="90"/>
      <c r="AJ96" s="90"/>
    </row>
    <row r="97" spans="29:36" x14ac:dyDescent="0.2">
      <c r="AC97" s="90"/>
      <c r="AD97" s="90"/>
      <c r="AE97" s="90"/>
      <c r="AF97" s="90"/>
      <c r="AG97" s="90"/>
      <c r="AH97" s="90"/>
      <c r="AI97" s="90"/>
      <c r="AJ97" s="90"/>
    </row>
    <row r="98" spans="29:36" x14ac:dyDescent="0.2">
      <c r="AC98" s="90"/>
      <c r="AD98" s="90"/>
      <c r="AE98" s="90"/>
      <c r="AF98" s="90"/>
      <c r="AG98" s="90"/>
      <c r="AH98" s="90"/>
      <c r="AI98" s="90"/>
      <c r="AJ98" s="90"/>
    </row>
    <row r="99" spans="29:36" x14ac:dyDescent="0.2">
      <c r="AC99" s="90"/>
      <c r="AD99" s="90"/>
      <c r="AE99" s="90"/>
      <c r="AF99" s="90"/>
      <c r="AG99" s="90"/>
      <c r="AH99" s="90"/>
      <c r="AI99" s="90"/>
      <c r="AJ99" s="90"/>
    </row>
    <row r="100" spans="29:36" x14ac:dyDescent="0.2">
      <c r="AC100" s="90"/>
      <c r="AD100" s="90"/>
      <c r="AE100" s="90"/>
      <c r="AF100" s="90"/>
      <c r="AG100" s="90"/>
      <c r="AH100" s="90"/>
      <c r="AI100" s="90"/>
      <c r="AJ100" s="90"/>
    </row>
    <row r="101" spans="29:36" x14ac:dyDescent="0.2">
      <c r="AC101" s="90"/>
      <c r="AD101" s="90"/>
      <c r="AE101" s="90"/>
      <c r="AF101" s="90"/>
      <c r="AG101" s="90"/>
      <c r="AH101" s="90"/>
      <c r="AI101" s="90"/>
      <c r="AJ101" s="90"/>
    </row>
    <row r="102" spans="29:36" x14ac:dyDescent="0.2">
      <c r="AC102" s="90"/>
      <c r="AD102" s="90"/>
      <c r="AE102" s="90"/>
      <c r="AF102" s="90"/>
      <c r="AG102" s="90"/>
      <c r="AH102" s="90"/>
      <c r="AI102" s="90"/>
      <c r="AJ102" s="90"/>
    </row>
    <row r="103" spans="29:36" x14ac:dyDescent="0.2">
      <c r="AC103" s="90"/>
      <c r="AD103" s="90"/>
      <c r="AE103" s="90"/>
      <c r="AF103" s="90"/>
      <c r="AG103" s="90"/>
      <c r="AH103" s="90"/>
      <c r="AI103" s="90"/>
      <c r="AJ103" s="90"/>
    </row>
    <row r="104" spans="29:36" x14ac:dyDescent="0.2">
      <c r="AC104" s="90"/>
      <c r="AD104" s="90"/>
      <c r="AE104" s="90"/>
      <c r="AF104" s="90"/>
      <c r="AG104" s="90"/>
      <c r="AH104" s="90"/>
      <c r="AI104" s="90"/>
      <c r="AJ104" s="90"/>
    </row>
    <row r="105" spans="29:36" x14ac:dyDescent="0.2">
      <c r="AC105" s="90"/>
      <c r="AD105" s="90"/>
      <c r="AE105" s="90"/>
      <c r="AF105" s="90"/>
      <c r="AG105" s="90"/>
      <c r="AH105" s="90"/>
      <c r="AI105" s="90"/>
      <c r="AJ105" s="90"/>
    </row>
    <row r="106" spans="29:36" x14ac:dyDescent="0.2">
      <c r="AC106" s="90"/>
      <c r="AD106" s="90"/>
      <c r="AE106" s="90"/>
      <c r="AF106" s="90"/>
      <c r="AG106" s="90"/>
      <c r="AH106" s="90"/>
      <c r="AI106" s="90"/>
      <c r="AJ106" s="90"/>
    </row>
    <row r="107" spans="29:36" x14ac:dyDescent="0.2">
      <c r="AC107" s="90"/>
      <c r="AD107" s="90"/>
      <c r="AE107" s="90"/>
      <c r="AF107" s="90"/>
      <c r="AG107" s="90"/>
      <c r="AH107" s="90"/>
      <c r="AI107" s="90"/>
      <c r="AJ107" s="90"/>
    </row>
  </sheetData>
  <dataValidations count="3">
    <dataValidation type="list" allowBlank="1" showInputMessage="1" showErrorMessage="1" sqref="D8">
      <formula1>$I$11:$K$11</formula1>
    </dataValidation>
    <dataValidation type="list" allowBlank="1" showInputMessage="1" showErrorMessage="1" sqref="F15:H15 L12:L14">
      <formula1>$A$12:$A$13</formula1>
    </dataValidation>
    <dataValidation type="list" allowBlank="1" showInputMessage="1" showErrorMessage="1" sqref="I12:K14">
      <formula1>$I$6:$K$6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9"/>
  <sheetViews>
    <sheetView workbookViewId="0"/>
  </sheetViews>
  <sheetFormatPr defaultRowHeight="15" x14ac:dyDescent="0.2"/>
  <cols>
    <col min="3" max="3" width="15.109375" bestFit="1" customWidth="1"/>
    <col min="5" max="5" width="15" bestFit="1" customWidth="1"/>
    <col min="6" max="6" width="5.109375" bestFit="1" customWidth="1"/>
    <col min="7" max="7" width="16.88671875" bestFit="1" customWidth="1"/>
  </cols>
  <sheetData>
    <row r="2" spans="1:14" s="161" customFormat="1" ht="15.75" x14ac:dyDescent="0.25">
      <c r="B2" s="194" t="s">
        <v>145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s="161" customFormat="1" x14ac:dyDescent="0.2"/>
    <row r="4" spans="1:14" x14ac:dyDescent="0.2">
      <c r="B4" s="190" t="s">
        <v>53</v>
      </c>
      <c r="C4" s="121" t="s">
        <v>144</v>
      </c>
      <c r="D4" s="121" t="s">
        <v>95</v>
      </c>
      <c r="E4" s="121" t="s">
        <v>143</v>
      </c>
    </row>
    <row r="5" spans="1:14" x14ac:dyDescent="0.2">
      <c r="B5" s="191" t="e">
        <f t="array" ref="B5:B21">TRANSPOSE('Preliminary results'!#REF!)</f>
        <v>#REF!</v>
      </c>
      <c r="C5" s="125" t="e">
        <f t="array" ref="C5:C21">TRANSPOSE('Preliminary results'!#REF!)</f>
        <v>#REF!</v>
      </c>
      <c r="D5" s="125" t="e">
        <f t="array" ref="D5:D21">TRANSPOSE('Preliminary results'!#REF!)</f>
        <v>#REF!</v>
      </c>
      <c r="E5" s="192" t="e">
        <f t="array" ref="E5:E21">TRANSPOSE('Preliminary results'!#REF!)</f>
        <v>#REF!</v>
      </c>
    </row>
    <row r="6" spans="1:14" hidden="1" x14ac:dyDescent="0.2">
      <c r="B6" s="191" t="e">
        <v>#REF!</v>
      </c>
      <c r="C6" s="125" t="e">
        <v>#REF!</v>
      </c>
      <c r="D6" s="125" t="e">
        <v>#REF!</v>
      </c>
      <c r="E6" s="192" t="e">
        <v>#REF!</v>
      </c>
    </row>
    <row r="7" spans="1:14" x14ac:dyDescent="0.2">
      <c r="B7" s="191" t="e">
        <v>#REF!</v>
      </c>
      <c r="C7" s="125" t="e">
        <v>#REF!</v>
      </c>
      <c r="D7" s="125" t="e">
        <v>#REF!</v>
      </c>
      <c r="E7" s="192" t="e">
        <v>#REF!</v>
      </c>
    </row>
    <row r="8" spans="1:14" x14ac:dyDescent="0.2">
      <c r="B8" s="191" t="e">
        <v>#REF!</v>
      </c>
      <c r="C8" s="125" t="e">
        <v>#REF!</v>
      </c>
      <c r="D8" s="125" t="e">
        <v>#REF!</v>
      </c>
      <c r="E8" s="192" t="e">
        <v>#REF!</v>
      </c>
    </row>
    <row r="9" spans="1:14" x14ac:dyDescent="0.2">
      <c r="B9" s="191" t="e">
        <v>#REF!</v>
      </c>
      <c r="C9" s="125" t="e">
        <v>#REF!</v>
      </c>
      <c r="D9" s="125" t="e">
        <v>#REF!</v>
      </c>
      <c r="E9" s="192" t="e">
        <v>#REF!</v>
      </c>
    </row>
    <row r="10" spans="1:14" x14ac:dyDescent="0.2">
      <c r="B10" s="191" t="e">
        <v>#REF!</v>
      </c>
      <c r="C10" s="125" t="e">
        <v>#REF!</v>
      </c>
      <c r="D10" s="125" t="e">
        <v>#REF!</v>
      </c>
      <c r="E10" s="192" t="e">
        <v>#REF!</v>
      </c>
    </row>
    <row r="11" spans="1:14" x14ac:dyDescent="0.2">
      <c r="B11" s="191" t="e">
        <v>#REF!</v>
      </c>
      <c r="C11" s="125" t="e">
        <v>#REF!</v>
      </c>
      <c r="D11" s="125" t="e">
        <v>#REF!</v>
      </c>
      <c r="E11" s="192" t="e">
        <v>#REF!</v>
      </c>
    </row>
    <row r="12" spans="1:14" x14ac:dyDescent="0.2">
      <c r="A12" s="161"/>
      <c r="B12" s="191" t="e">
        <v>#REF!</v>
      </c>
      <c r="C12" s="125" t="e">
        <v>#REF!</v>
      </c>
      <c r="D12" s="125" t="e">
        <v>#REF!</v>
      </c>
      <c r="E12" s="192" t="e">
        <v>#REF!</v>
      </c>
    </row>
    <row r="13" spans="1:14" hidden="1" x14ac:dyDescent="0.2">
      <c r="A13" s="161"/>
      <c r="B13" s="191" t="e">
        <v>#REF!</v>
      </c>
      <c r="C13" s="125" t="e">
        <v>#REF!</v>
      </c>
      <c r="D13" s="125" t="e">
        <v>#REF!</v>
      </c>
      <c r="E13" s="192" t="e">
        <v>#REF!</v>
      </c>
    </row>
    <row r="14" spans="1:14" x14ac:dyDescent="0.2">
      <c r="A14" s="161"/>
      <c r="B14" s="191" t="e">
        <v>#REF!</v>
      </c>
      <c r="C14" s="125" t="e">
        <v>#REF!</v>
      </c>
      <c r="D14" s="125" t="e">
        <v>#REF!</v>
      </c>
      <c r="E14" s="192" t="e">
        <v>#REF!</v>
      </c>
    </row>
    <row r="15" spans="1:14" x14ac:dyDescent="0.2">
      <c r="A15" s="161"/>
      <c r="B15" s="191" t="e">
        <v>#REF!</v>
      </c>
      <c r="C15" s="125" t="e">
        <v>#REF!</v>
      </c>
      <c r="D15" s="125" t="e">
        <v>#REF!</v>
      </c>
      <c r="E15" s="192" t="e">
        <v>#REF!</v>
      </c>
    </row>
    <row r="16" spans="1:14" x14ac:dyDescent="0.2">
      <c r="A16" s="161"/>
      <c r="B16" s="191" t="e">
        <v>#REF!</v>
      </c>
      <c r="C16" s="125" t="e">
        <v>#REF!</v>
      </c>
      <c r="D16" s="125" t="e">
        <v>#REF!</v>
      </c>
      <c r="E16" s="192" t="e">
        <v>#REF!</v>
      </c>
    </row>
    <row r="17" spans="1:14" x14ac:dyDescent="0.2">
      <c r="A17" s="161"/>
      <c r="B17" s="191" t="e">
        <v>#REF!</v>
      </c>
      <c r="C17" s="125" t="e">
        <v>#REF!</v>
      </c>
      <c r="D17" s="125" t="e">
        <v>#REF!</v>
      </c>
      <c r="E17" s="192" t="e">
        <v>#REF!</v>
      </c>
    </row>
    <row r="18" spans="1:14" x14ac:dyDescent="0.2">
      <c r="A18" s="161"/>
      <c r="B18" s="191" t="e">
        <v>#REF!</v>
      </c>
      <c r="C18" s="125" t="e">
        <v>#REF!</v>
      </c>
      <c r="D18" s="125" t="e">
        <v>#REF!</v>
      </c>
      <c r="E18" s="192" t="e">
        <v>#REF!</v>
      </c>
    </row>
    <row r="19" spans="1:14" x14ac:dyDescent="0.2">
      <c r="A19" s="161"/>
      <c r="B19" s="191" t="e">
        <v>#REF!</v>
      </c>
      <c r="C19" s="125" t="e">
        <v>#REF!</v>
      </c>
      <c r="D19" s="125" t="e">
        <v>#REF!</v>
      </c>
      <c r="E19" s="192" t="e">
        <v>#REF!</v>
      </c>
    </row>
    <row r="20" spans="1:14" hidden="1" x14ac:dyDescent="0.2">
      <c r="A20" s="161"/>
      <c r="B20" s="191" t="e">
        <v>#REF!</v>
      </c>
      <c r="C20" s="125" t="e">
        <v>#REF!</v>
      </c>
      <c r="D20" s="125" t="e">
        <v>#REF!</v>
      </c>
      <c r="E20" s="192" t="e">
        <v>#REF!</v>
      </c>
    </row>
    <row r="21" spans="1:14" x14ac:dyDescent="0.2">
      <c r="A21" s="161"/>
      <c r="B21" s="191" t="e">
        <v>#REF!</v>
      </c>
      <c r="C21" s="125" t="e">
        <v>#REF!</v>
      </c>
      <c r="D21" s="125" t="e">
        <v>#REF!</v>
      </c>
      <c r="E21" s="192" t="e">
        <v>#REF!</v>
      </c>
    </row>
    <row r="22" spans="1:14" x14ac:dyDescent="0.2">
      <c r="A22" s="161"/>
    </row>
    <row r="23" spans="1:14" x14ac:dyDescent="0.2">
      <c r="A23" s="161"/>
    </row>
    <row r="24" spans="1:14" ht="15.75" x14ac:dyDescent="0.25">
      <c r="A24" s="161"/>
      <c r="B24" s="194" t="s">
        <v>146</v>
      </c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</row>
    <row r="25" spans="1:14" x14ac:dyDescent="0.2">
      <c r="A25" s="161"/>
    </row>
    <row r="26" spans="1:14" x14ac:dyDescent="0.2">
      <c r="A26" s="161"/>
      <c r="B26" s="190" t="s">
        <v>53</v>
      </c>
      <c r="C26" s="121" t="s">
        <v>144</v>
      </c>
      <c r="D26" s="121" t="s">
        <v>95</v>
      </c>
      <c r="E26" s="121" t="s">
        <v>143</v>
      </c>
    </row>
    <row r="27" spans="1:14" x14ac:dyDescent="0.2">
      <c r="A27" s="161"/>
      <c r="B27" s="191" t="s">
        <v>129</v>
      </c>
      <c r="C27" s="125">
        <v>321.12099541982292</v>
      </c>
      <c r="D27" s="125">
        <v>1</v>
      </c>
      <c r="E27" s="192">
        <v>1</v>
      </c>
    </row>
    <row r="28" spans="1:14" hidden="1" x14ac:dyDescent="0.2">
      <c r="A28" s="161"/>
      <c r="B28" s="191" t="s">
        <v>130</v>
      </c>
      <c r="C28" s="125">
        <v>-207.12812853968418</v>
      </c>
      <c r="D28" s="125">
        <v>17</v>
      </c>
      <c r="E28" s="192">
        <v>-0.64501583980484289</v>
      </c>
    </row>
    <row r="29" spans="1:14" x14ac:dyDescent="0.2">
      <c r="A29" s="161"/>
      <c r="B29" s="191" t="s">
        <v>131</v>
      </c>
      <c r="C29" s="125">
        <v>221.26963797585714</v>
      </c>
      <c r="D29" s="125">
        <v>7</v>
      </c>
      <c r="E29" s="192">
        <v>0.68905378698946973</v>
      </c>
    </row>
    <row r="30" spans="1:14" x14ac:dyDescent="0.2">
      <c r="A30" s="161"/>
      <c r="B30" s="191" t="s">
        <v>132</v>
      </c>
      <c r="C30" s="125">
        <v>245.50415552620746</v>
      </c>
      <c r="D30" s="125">
        <v>6</v>
      </c>
      <c r="E30" s="192">
        <v>0.76452227985044541</v>
      </c>
    </row>
    <row r="31" spans="1:14" x14ac:dyDescent="0.2">
      <c r="A31" s="161"/>
      <c r="B31" s="191" t="s">
        <v>139</v>
      </c>
      <c r="C31" s="125">
        <v>287.81154786121471</v>
      </c>
      <c r="D31" s="125">
        <v>2</v>
      </c>
      <c r="E31" s="192">
        <v>0.89627134932407471</v>
      </c>
    </row>
    <row r="32" spans="1:14" x14ac:dyDescent="0.2">
      <c r="A32" s="161"/>
      <c r="B32" s="191" t="s">
        <v>140</v>
      </c>
      <c r="C32" s="125">
        <v>144.03511819652101</v>
      </c>
      <c r="D32" s="125">
        <v>12</v>
      </c>
      <c r="E32" s="192">
        <v>0.44853846447571666</v>
      </c>
    </row>
    <row r="33" spans="1:14" x14ac:dyDescent="0.2">
      <c r="A33" s="161"/>
      <c r="B33" s="191">
        <v>2</v>
      </c>
      <c r="C33" s="125">
        <v>274.28624594856183</v>
      </c>
      <c r="D33" s="125">
        <v>3</v>
      </c>
      <c r="E33" s="192">
        <v>0.85415232843921995</v>
      </c>
    </row>
    <row r="34" spans="1:14" x14ac:dyDescent="0.2">
      <c r="A34" s="161"/>
      <c r="B34" s="191" t="s">
        <v>141</v>
      </c>
      <c r="C34" s="125">
        <v>270.88354505920364</v>
      </c>
      <c r="D34" s="125">
        <v>4</v>
      </c>
      <c r="E34" s="192">
        <v>0.8435560082424991</v>
      </c>
    </row>
    <row r="35" spans="1:14" hidden="1" x14ac:dyDescent="0.2">
      <c r="A35" s="161"/>
      <c r="B35" s="191" t="s">
        <v>142</v>
      </c>
      <c r="C35" s="125">
        <v>0</v>
      </c>
      <c r="D35" s="125">
        <v>15</v>
      </c>
      <c r="E35" s="192">
        <v>0</v>
      </c>
    </row>
    <row r="36" spans="1:14" x14ac:dyDescent="0.2">
      <c r="A36" s="161"/>
      <c r="B36" s="191">
        <v>3</v>
      </c>
      <c r="C36" s="125">
        <v>255.15159127779884</v>
      </c>
      <c r="D36" s="125">
        <v>5</v>
      </c>
      <c r="E36" s="192">
        <v>0.79456527264504184</v>
      </c>
    </row>
    <row r="37" spans="1:14" x14ac:dyDescent="0.2">
      <c r="A37" s="161"/>
      <c r="B37" s="191">
        <v>4</v>
      </c>
      <c r="C37" s="125">
        <v>89.20567742433191</v>
      </c>
      <c r="D37" s="125">
        <v>14</v>
      </c>
      <c r="E37" s="192">
        <v>0.27779459673045476</v>
      </c>
    </row>
    <row r="38" spans="1:14" x14ac:dyDescent="0.2">
      <c r="A38" s="161"/>
      <c r="B38" s="191" t="s">
        <v>138</v>
      </c>
      <c r="C38" s="125">
        <v>133.47981682138865</v>
      </c>
      <c r="D38" s="125">
        <v>13</v>
      </c>
      <c r="E38" s="192">
        <v>0.41566829551858353</v>
      </c>
    </row>
    <row r="39" spans="1:14" x14ac:dyDescent="0.2">
      <c r="A39" s="161"/>
      <c r="B39" s="191" t="s">
        <v>137</v>
      </c>
      <c r="C39" s="125">
        <v>207.12355075392696</v>
      </c>
      <c r="D39" s="125">
        <v>8</v>
      </c>
      <c r="E39" s="192">
        <v>0.64500158416344133</v>
      </c>
    </row>
    <row r="40" spans="1:14" x14ac:dyDescent="0.2">
      <c r="A40" s="161"/>
      <c r="B40" s="191" t="s">
        <v>136</v>
      </c>
      <c r="C40" s="125">
        <v>197.17026833182712</v>
      </c>
      <c r="D40" s="125">
        <v>9</v>
      </c>
      <c r="E40" s="192">
        <v>0.6140061570064993</v>
      </c>
    </row>
    <row r="41" spans="1:14" x14ac:dyDescent="0.2">
      <c r="A41" s="161"/>
      <c r="B41" s="191" t="s">
        <v>135</v>
      </c>
      <c r="C41" s="125">
        <v>188.52318196373025</v>
      </c>
      <c r="D41" s="125">
        <v>10</v>
      </c>
      <c r="E41" s="192">
        <v>0.58707834321845354</v>
      </c>
    </row>
    <row r="42" spans="1:14" hidden="1" x14ac:dyDescent="0.2">
      <c r="A42" s="161"/>
      <c r="B42" s="191" t="s">
        <v>134</v>
      </c>
      <c r="C42" s="125">
        <v>0</v>
      </c>
      <c r="D42" s="125">
        <v>15</v>
      </c>
      <c r="E42" s="192">
        <v>0</v>
      </c>
    </row>
    <row r="43" spans="1:14" x14ac:dyDescent="0.2">
      <c r="A43" s="161"/>
      <c r="B43" s="191" t="s">
        <v>133</v>
      </c>
      <c r="C43" s="125">
        <v>148.37671070289406</v>
      </c>
      <c r="D43" s="125">
        <v>11</v>
      </c>
      <c r="E43" s="192">
        <v>0.46205857860184846</v>
      </c>
    </row>
    <row r="44" spans="1:14" x14ac:dyDescent="0.2">
      <c r="A44" s="161"/>
    </row>
    <row r="45" spans="1:14" x14ac:dyDescent="0.2">
      <c r="A45" s="161"/>
    </row>
    <row r="46" spans="1:14" s="161" customFormat="1" ht="15.75" x14ac:dyDescent="0.25">
      <c r="B46" s="194" t="s">
        <v>149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</row>
    <row r="47" spans="1:14" s="161" customFormat="1" x14ac:dyDescent="0.2"/>
    <row r="48" spans="1:14" s="161" customFormat="1" x14ac:dyDescent="0.2">
      <c r="B48" s="190" t="s">
        <v>53</v>
      </c>
      <c r="C48" s="121" t="s">
        <v>144</v>
      </c>
      <c r="D48" s="121" t="s">
        <v>95</v>
      </c>
      <c r="E48" s="121" t="s">
        <v>143</v>
      </c>
    </row>
    <row r="49" spans="2:5" s="161" customFormat="1" x14ac:dyDescent="0.2">
      <c r="B49" s="191" t="s">
        <v>129</v>
      </c>
      <c r="C49" s="125">
        <v>321.12099541982292</v>
      </c>
      <c r="D49" s="125">
        <v>1</v>
      </c>
      <c r="E49" s="192">
        <v>1</v>
      </c>
    </row>
    <row r="50" spans="2:5" s="161" customFormat="1" hidden="1" x14ac:dyDescent="0.2">
      <c r="B50" s="191"/>
      <c r="C50" s="125">
        <v>0</v>
      </c>
      <c r="D50" s="125">
        <v>17</v>
      </c>
      <c r="E50" s="192">
        <v>-0.64501583980484289</v>
      </c>
    </row>
    <row r="51" spans="2:5" s="161" customFormat="1" x14ac:dyDescent="0.2">
      <c r="B51" s="191" t="s">
        <v>131</v>
      </c>
      <c r="C51" s="125">
        <v>15.542984023859502</v>
      </c>
      <c r="D51" s="125">
        <v>7</v>
      </c>
      <c r="E51" s="192">
        <v>0.68905378698946973</v>
      </c>
    </row>
    <row r="52" spans="2:5" s="161" customFormat="1" x14ac:dyDescent="0.2">
      <c r="B52" s="191" t="s">
        <v>132</v>
      </c>
      <c r="C52" s="125">
        <v>154.74165668439329</v>
      </c>
      <c r="D52" s="125">
        <v>6</v>
      </c>
      <c r="E52" s="192">
        <v>0.76452227985044541</v>
      </c>
    </row>
    <row r="53" spans="2:5" s="161" customFormat="1" x14ac:dyDescent="0.2">
      <c r="B53" s="191"/>
      <c r="C53" s="125">
        <v>0</v>
      </c>
      <c r="D53" s="125">
        <v>3</v>
      </c>
      <c r="E53" s="192">
        <v>0.89627134932407471</v>
      </c>
    </row>
    <row r="54" spans="2:5" s="161" customFormat="1" x14ac:dyDescent="0.2">
      <c r="B54" s="191"/>
      <c r="C54" s="125">
        <v>0</v>
      </c>
      <c r="D54" s="125">
        <v>12</v>
      </c>
      <c r="E54" s="192">
        <v>0.44853846447571666</v>
      </c>
    </row>
    <row r="55" spans="2:5" s="161" customFormat="1" x14ac:dyDescent="0.2">
      <c r="B55" s="191">
        <v>2</v>
      </c>
      <c r="C55" s="125">
        <v>210.95850548371845</v>
      </c>
      <c r="D55" s="125">
        <v>2</v>
      </c>
      <c r="E55" s="192">
        <v>0.89733857780389992</v>
      </c>
    </row>
    <row r="56" spans="2:5" s="161" customFormat="1" x14ac:dyDescent="0.2">
      <c r="B56" s="191"/>
      <c r="C56" s="125">
        <v>0</v>
      </c>
      <c r="D56" s="125">
        <v>4</v>
      </c>
      <c r="E56" s="192">
        <v>0.88582446045095609</v>
      </c>
    </row>
    <row r="57" spans="2:5" s="161" customFormat="1" hidden="1" x14ac:dyDescent="0.2">
      <c r="B57" s="191"/>
      <c r="C57" s="125">
        <v>0</v>
      </c>
      <c r="D57" s="125">
        <v>15</v>
      </c>
      <c r="E57" s="192">
        <v>0</v>
      </c>
    </row>
    <row r="58" spans="2:5" s="161" customFormat="1" x14ac:dyDescent="0.2">
      <c r="B58" s="191">
        <v>3</v>
      </c>
      <c r="C58" s="125">
        <v>255.15159127779884</v>
      </c>
      <c r="D58" s="125">
        <v>5</v>
      </c>
      <c r="E58" s="192">
        <v>0.79456527264504184</v>
      </c>
    </row>
    <row r="59" spans="2:5" s="161" customFormat="1" x14ac:dyDescent="0.2">
      <c r="B59" s="191">
        <v>4</v>
      </c>
      <c r="C59" s="125">
        <v>89.20567742433191</v>
      </c>
      <c r="D59" s="125">
        <v>14</v>
      </c>
      <c r="E59" s="192">
        <v>0.27779459673045476</v>
      </c>
    </row>
    <row r="60" spans="2:5" s="161" customFormat="1" x14ac:dyDescent="0.2">
      <c r="B60" s="191" t="s">
        <v>138</v>
      </c>
      <c r="C60" s="125">
        <v>133.47981682138865</v>
      </c>
      <c r="D60" s="125">
        <v>13</v>
      </c>
      <c r="E60" s="192">
        <v>0.41566829551858353</v>
      </c>
    </row>
    <row r="61" spans="2:5" s="161" customFormat="1" x14ac:dyDescent="0.2">
      <c r="B61" s="191" t="s">
        <v>137</v>
      </c>
      <c r="C61" s="125">
        <v>95.832525009485963</v>
      </c>
      <c r="D61" s="125">
        <v>8</v>
      </c>
      <c r="E61" s="192">
        <v>0.64500158416344133</v>
      </c>
    </row>
    <row r="62" spans="2:5" s="161" customFormat="1" x14ac:dyDescent="0.2">
      <c r="B62" s="191" t="s">
        <v>136</v>
      </c>
      <c r="C62" s="125">
        <v>82.451848316710681</v>
      </c>
      <c r="D62" s="125">
        <v>9</v>
      </c>
      <c r="E62" s="192">
        <v>0.6140061570064993</v>
      </c>
    </row>
    <row r="63" spans="2:5" s="161" customFormat="1" x14ac:dyDescent="0.2">
      <c r="B63" s="191"/>
      <c r="C63" s="125">
        <v>0</v>
      </c>
      <c r="D63" s="125">
        <v>10</v>
      </c>
      <c r="E63" s="192">
        <v>0.58707834321845354</v>
      </c>
    </row>
    <row r="64" spans="2:5" s="161" customFormat="1" hidden="1" x14ac:dyDescent="0.2">
      <c r="B64" s="191"/>
      <c r="C64" s="125">
        <v>0</v>
      </c>
      <c r="D64" s="125">
        <v>15</v>
      </c>
      <c r="E64" s="192">
        <v>0</v>
      </c>
    </row>
    <row r="65" spans="1:14" s="161" customFormat="1" x14ac:dyDescent="0.2">
      <c r="B65" s="191"/>
      <c r="C65" s="125">
        <v>0</v>
      </c>
      <c r="D65" s="125">
        <v>11</v>
      </c>
      <c r="E65" s="192">
        <v>0.46205857860184846</v>
      </c>
    </row>
    <row r="66" spans="1:14" s="161" customFormat="1" x14ac:dyDescent="0.2"/>
    <row r="67" spans="1:14" s="161" customFormat="1" x14ac:dyDescent="0.2"/>
    <row r="68" spans="1:14" ht="15.75" x14ac:dyDescent="0.25">
      <c r="A68" s="161"/>
      <c r="B68" s="194" t="s">
        <v>147</v>
      </c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</row>
    <row r="69" spans="1:14" x14ac:dyDescent="0.2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</row>
    <row r="70" spans="1:14" x14ac:dyDescent="0.2">
      <c r="A70" s="161"/>
      <c r="B70" s="190" t="s">
        <v>53</v>
      </c>
      <c r="C70" s="121" t="s">
        <v>144</v>
      </c>
      <c r="D70" s="121" t="s">
        <v>95</v>
      </c>
      <c r="E70" s="121" t="s">
        <v>143</v>
      </c>
      <c r="F70" s="161"/>
      <c r="G70" s="161"/>
      <c r="H70" s="161"/>
      <c r="I70" s="161"/>
      <c r="J70" s="161"/>
      <c r="K70" s="161"/>
      <c r="L70" s="161"/>
      <c r="M70" s="161"/>
      <c r="N70" s="161"/>
    </row>
    <row r="71" spans="1:14" x14ac:dyDescent="0.2">
      <c r="A71" s="161"/>
      <c r="B71" s="191" t="s">
        <v>129</v>
      </c>
      <c r="C71" s="125">
        <v>321.12099541982292</v>
      </c>
      <c r="D71" s="125">
        <v>1</v>
      </c>
      <c r="E71" s="192">
        <v>1</v>
      </c>
      <c r="F71" s="161"/>
      <c r="G71" s="161"/>
      <c r="H71" s="161"/>
      <c r="I71" s="161"/>
      <c r="J71" s="161"/>
      <c r="K71" s="161"/>
      <c r="L71" s="161"/>
      <c r="M71" s="161"/>
      <c r="N71" s="161"/>
    </row>
    <row r="72" spans="1:14" hidden="1" x14ac:dyDescent="0.2">
      <c r="A72" s="161"/>
      <c r="B72" s="191" t="s">
        <v>130</v>
      </c>
      <c r="C72" s="125">
        <v>-297.89062738149835</v>
      </c>
      <c r="D72" s="125">
        <v>17</v>
      </c>
      <c r="E72" s="192">
        <v>-0.92765852009161232</v>
      </c>
      <c r="F72" s="161"/>
      <c r="G72" s="161"/>
      <c r="H72" s="161"/>
      <c r="I72" s="161"/>
      <c r="J72" s="161"/>
      <c r="K72" s="161"/>
      <c r="L72" s="161"/>
      <c r="M72" s="161"/>
      <c r="N72" s="161"/>
    </row>
    <row r="73" spans="1:14" x14ac:dyDescent="0.2">
      <c r="A73" s="161"/>
      <c r="B73" s="191" t="s">
        <v>131</v>
      </c>
      <c r="C73" s="125">
        <v>130.50713913404297</v>
      </c>
      <c r="D73" s="125">
        <v>8</v>
      </c>
      <c r="E73" s="192">
        <v>0.40641110670270025</v>
      </c>
      <c r="F73" s="161"/>
      <c r="G73" s="161"/>
      <c r="H73" s="161"/>
      <c r="I73" s="161"/>
      <c r="J73" s="161"/>
      <c r="K73" s="161"/>
      <c r="L73" s="161"/>
      <c r="M73" s="161"/>
      <c r="N73" s="161"/>
    </row>
    <row r="74" spans="1:14" x14ac:dyDescent="0.2">
      <c r="A74" s="161"/>
      <c r="B74" s="191" t="s">
        <v>132</v>
      </c>
      <c r="C74" s="125">
        <v>154.74165668439329</v>
      </c>
      <c r="D74" s="125">
        <v>6</v>
      </c>
      <c r="E74" s="192">
        <v>0.48187959956367599</v>
      </c>
      <c r="F74" s="161"/>
      <c r="G74" s="161"/>
      <c r="H74" s="161"/>
      <c r="I74" s="161"/>
      <c r="J74" s="161"/>
      <c r="K74" s="161"/>
      <c r="L74" s="161"/>
      <c r="M74" s="161"/>
      <c r="N74" s="161"/>
    </row>
    <row r="75" spans="1:14" x14ac:dyDescent="0.2">
      <c r="A75" s="161"/>
      <c r="B75" s="191" t="s">
        <v>139</v>
      </c>
      <c r="C75" s="125">
        <v>197.04904901940054</v>
      </c>
      <c r="D75" s="125">
        <v>5</v>
      </c>
      <c r="E75" s="192">
        <v>0.61362866903730529</v>
      </c>
      <c r="F75" s="161"/>
      <c r="G75" s="161"/>
      <c r="H75" s="161"/>
      <c r="I75" s="161"/>
      <c r="J75" s="161"/>
      <c r="K75" s="161"/>
      <c r="L75" s="161"/>
      <c r="M75" s="161"/>
      <c r="N75" s="161"/>
    </row>
    <row r="76" spans="1:14" x14ac:dyDescent="0.2">
      <c r="A76" s="161"/>
      <c r="B76" s="191" t="s">
        <v>140</v>
      </c>
      <c r="C76" s="125">
        <v>53.272619354706826</v>
      </c>
      <c r="D76" s="125">
        <v>14</v>
      </c>
      <c r="E76" s="192">
        <v>0.16589578418894715</v>
      </c>
      <c r="F76" s="161"/>
      <c r="G76" s="161"/>
      <c r="H76" s="161"/>
      <c r="I76" s="161"/>
      <c r="J76" s="161"/>
      <c r="K76" s="161"/>
      <c r="L76" s="161"/>
      <c r="M76" s="161"/>
      <c r="N76" s="161"/>
    </row>
    <row r="77" spans="1:14" x14ac:dyDescent="0.2">
      <c r="A77" s="161"/>
      <c r="B77" s="191">
        <v>2</v>
      </c>
      <c r="C77" s="125">
        <v>288.15425733299656</v>
      </c>
      <c r="D77" s="125">
        <v>2</v>
      </c>
      <c r="E77" s="192">
        <v>0.89733857780389992</v>
      </c>
      <c r="F77" s="161"/>
      <c r="G77" s="161"/>
      <c r="H77" s="161"/>
      <c r="I77" s="161"/>
      <c r="J77" s="161"/>
      <c r="K77" s="161"/>
      <c r="L77" s="161"/>
      <c r="M77" s="161"/>
      <c r="N77" s="161"/>
    </row>
    <row r="78" spans="1:14" x14ac:dyDescent="0.2">
      <c r="A78" s="161"/>
      <c r="B78" s="191" t="s">
        <v>141</v>
      </c>
      <c r="C78" s="125">
        <v>284.45683250723857</v>
      </c>
      <c r="D78" s="125">
        <v>3</v>
      </c>
      <c r="E78" s="192">
        <v>0.88582446045095609</v>
      </c>
      <c r="F78" s="161"/>
      <c r="G78" s="161"/>
      <c r="H78" s="161"/>
      <c r="I78" s="161"/>
      <c r="J78" s="161"/>
      <c r="K78" s="161"/>
      <c r="L78" s="161"/>
      <c r="M78" s="161"/>
      <c r="N78" s="161"/>
    </row>
    <row r="79" spans="1:14" hidden="1" x14ac:dyDescent="0.2">
      <c r="A79" s="161"/>
      <c r="B79" s="191" t="s">
        <v>142</v>
      </c>
      <c r="C79" s="125">
        <v>0</v>
      </c>
      <c r="D79" s="125">
        <v>15</v>
      </c>
      <c r="E79" s="192">
        <v>0</v>
      </c>
      <c r="F79" s="161"/>
      <c r="G79" s="161"/>
      <c r="H79" s="161"/>
      <c r="I79" s="161"/>
      <c r="J79" s="161"/>
      <c r="K79" s="161"/>
      <c r="L79" s="161"/>
      <c r="M79" s="161"/>
      <c r="N79" s="161"/>
    </row>
    <row r="80" spans="1:14" x14ac:dyDescent="0.2">
      <c r="A80" s="161"/>
      <c r="B80" s="191">
        <v>3</v>
      </c>
      <c r="C80" s="125">
        <v>255.15159127779884</v>
      </c>
      <c r="D80" s="125">
        <v>4</v>
      </c>
      <c r="E80" s="192">
        <v>0.79456527264504184</v>
      </c>
      <c r="F80" s="161"/>
      <c r="G80" s="161"/>
      <c r="H80" s="161"/>
      <c r="I80" s="161"/>
      <c r="J80" s="161"/>
      <c r="K80" s="161"/>
      <c r="L80" s="161"/>
      <c r="M80" s="161"/>
      <c r="N80" s="161"/>
    </row>
    <row r="81" spans="1:14" x14ac:dyDescent="0.2">
      <c r="A81" s="161"/>
      <c r="B81" s="191">
        <v>4</v>
      </c>
      <c r="C81" s="125">
        <v>89.20567742433191</v>
      </c>
      <c r="D81" s="125">
        <v>12</v>
      </c>
      <c r="E81" s="192">
        <v>0.27779459673045476</v>
      </c>
      <c r="F81" s="161"/>
      <c r="G81" s="161"/>
      <c r="H81" s="161"/>
      <c r="I81" s="161"/>
      <c r="J81" s="161"/>
      <c r="K81" s="161"/>
      <c r="L81" s="161"/>
      <c r="M81" s="161"/>
      <c r="N81" s="161"/>
    </row>
    <row r="82" spans="1:14" x14ac:dyDescent="0.2">
      <c r="A82" s="161"/>
      <c r="B82" s="191" t="s">
        <v>138</v>
      </c>
      <c r="C82" s="125">
        <v>133.47981682138865</v>
      </c>
      <c r="D82" s="125">
        <v>7</v>
      </c>
      <c r="E82" s="192">
        <v>0.41566829551858353</v>
      </c>
      <c r="F82" s="161"/>
      <c r="G82" s="161"/>
      <c r="H82" s="161"/>
      <c r="I82" s="161"/>
      <c r="J82" s="161"/>
      <c r="K82" s="161"/>
      <c r="L82" s="161"/>
      <c r="M82" s="161"/>
      <c r="N82" s="161"/>
    </row>
    <row r="83" spans="1:14" x14ac:dyDescent="0.2">
      <c r="A83" s="161"/>
      <c r="B83" s="191" t="s">
        <v>137</v>
      </c>
      <c r="C83" s="125">
        <v>116.36105191211283</v>
      </c>
      <c r="D83" s="125">
        <v>9</v>
      </c>
      <c r="E83" s="192">
        <v>0.36235890387667197</v>
      </c>
      <c r="F83" s="161"/>
      <c r="G83" s="161"/>
      <c r="H83" s="161"/>
      <c r="I83" s="161"/>
      <c r="J83" s="161"/>
      <c r="K83" s="161"/>
      <c r="L83" s="161"/>
      <c r="M83" s="161"/>
      <c r="N83" s="161"/>
    </row>
    <row r="84" spans="1:14" x14ac:dyDescent="0.2">
      <c r="A84" s="161"/>
      <c r="B84" s="191" t="s">
        <v>136</v>
      </c>
      <c r="C84" s="125">
        <v>106.40776949001297</v>
      </c>
      <c r="D84" s="125">
        <v>10</v>
      </c>
      <c r="E84" s="192">
        <v>0.33136347671972982</v>
      </c>
      <c r="F84" s="161"/>
      <c r="G84" s="161"/>
      <c r="H84" s="161"/>
      <c r="I84" s="161"/>
      <c r="J84" s="161"/>
      <c r="K84" s="161"/>
      <c r="L84" s="161"/>
      <c r="M84" s="161"/>
      <c r="N84" s="161"/>
    </row>
    <row r="85" spans="1:14" x14ac:dyDescent="0.2">
      <c r="A85" s="161"/>
      <c r="B85" s="191" t="s">
        <v>135</v>
      </c>
      <c r="C85" s="125">
        <v>97.760683121916117</v>
      </c>
      <c r="D85" s="125">
        <v>11</v>
      </c>
      <c r="E85" s="192">
        <v>0.30443566293168423</v>
      </c>
      <c r="F85" s="161"/>
      <c r="G85" s="161"/>
      <c r="H85" s="161"/>
      <c r="I85" s="161"/>
      <c r="J85" s="161"/>
      <c r="K85" s="161"/>
      <c r="L85" s="161"/>
      <c r="M85" s="161"/>
      <c r="N85" s="161"/>
    </row>
    <row r="86" spans="1:14" hidden="1" x14ac:dyDescent="0.2">
      <c r="A86" s="161"/>
      <c r="B86" s="191" t="s">
        <v>134</v>
      </c>
      <c r="C86" s="125">
        <v>-90.762498841814164</v>
      </c>
      <c r="D86" s="125">
        <v>16</v>
      </c>
      <c r="E86" s="192">
        <v>-0.28264268028676942</v>
      </c>
      <c r="F86" s="161"/>
      <c r="G86" s="161"/>
      <c r="H86" s="161"/>
      <c r="I86" s="161"/>
      <c r="J86" s="161"/>
      <c r="K86" s="161"/>
      <c r="L86" s="161"/>
      <c r="M86" s="161"/>
      <c r="N86" s="161"/>
    </row>
    <row r="87" spans="1:14" x14ac:dyDescent="0.2">
      <c r="A87" s="161"/>
      <c r="B87" s="191" t="s">
        <v>133</v>
      </c>
      <c r="C87" s="125">
        <v>57.61421186107993</v>
      </c>
      <c r="D87" s="125">
        <v>13</v>
      </c>
      <c r="E87" s="192">
        <v>0.17941589831507909</v>
      </c>
      <c r="F87" s="161"/>
      <c r="G87" s="161"/>
      <c r="H87" s="161"/>
      <c r="I87" s="161"/>
      <c r="J87" s="161"/>
      <c r="K87" s="161"/>
      <c r="L87" s="161"/>
      <c r="M87" s="161"/>
      <c r="N87" s="161"/>
    </row>
    <row r="88" spans="1:14" x14ac:dyDescent="0.2">
      <c r="A88" s="161"/>
    </row>
    <row r="89" spans="1:14" x14ac:dyDescent="0.2">
      <c r="A89" s="161"/>
    </row>
    <row r="90" spans="1:14" ht="15.75" x14ac:dyDescent="0.25">
      <c r="A90" s="161"/>
      <c r="B90" s="194" t="s">
        <v>148</v>
      </c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</row>
    <row r="91" spans="1:14" x14ac:dyDescent="0.2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</row>
    <row r="92" spans="1:14" x14ac:dyDescent="0.2">
      <c r="A92" s="161"/>
      <c r="B92" s="190" t="s">
        <v>53</v>
      </c>
      <c r="C92" s="121" t="s">
        <v>144</v>
      </c>
      <c r="D92" s="121" t="s">
        <v>95</v>
      </c>
      <c r="E92" s="121" t="s">
        <v>143</v>
      </c>
      <c r="F92" s="161"/>
      <c r="G92" s="161"/>
      <c r="H92" s="161"/>
      <c r="I92" s="161"/>
      <c r="J92" s="161"/>
      <c r="K92" s="161"/>
      <c r="L92" s="161"/>
      <c r="M92" s="161"/>
      <c r="N92" s="161"/>
    </row>
    <row r="93" spans="1:14" x14ac:dyDescent="0.2">
      <c r="A93" s="161"/>
      <c r="B93" s="191" t="s">
        <v>129</v>
      </c>
      <c r="C93" s="125">
        <f>C104</f>
        <v>133.47981682138865</v>
      </c>
      <c r="D93" s="125">
        <f>RANK(C93,$C$93:$C$109)</f>
        <v>12</v>
      </c>
      <c r="E93" s="192">
        <f>C93/$C$93</f>
        <v>1</v>
      </c>
      <c r="F93" s="161"/>
      <c r="G93" s="161"/>
      <c r="H93" s="161"/>
      <c r="I93" s="161"/>
      <c r="J93" s="161"/>
      <c r="K93" s="161"/>
      <c r="L93" s="161"/>
      <c r="M93" s="161"/>
      <c r="N93" s="161"/>
    </row>
    <row r="94" spans="1:14" hidden="1" x14ac:dyDescent="0.2">
      <c r="A94" s="161"/>
      <c r="B94" s="191" t="s">
        <v>130</v>
      </c>
      <c r="C94" s="125">
        <v>-207.12812853968418</v>
      </c>
      <c r="D94" s="125">
        <f t="shared" ref="D94:D109" si="0">RANK(C94,$C$93:$C$109)</f>
        <v>17</v>
      </c>
      <c r="E94" s="192">
        <f t="shared" ref="E94:E109" si="1">C94/$C$93</f>
        <v>-1.5517561641311319</v>
      </c>
      <c r="F94" s="161"/>
      <c r="G94" s="161"/>
      <c r="H94" s="161"/>
      <c r="I94" s="161"/>
      <c r="J94" s="161"/>
      <c r="K94" s="161"/>
      <c r="L94" s="161"/>
      <c r="M94" s="161"/>
      <c r="N94" s="161"/>
    </row>
    <row r="95" spans="1:14" x14ac:dyDescent="0.2">
      <c r="A95" s="161"/>
      <c r="B95" s="191" t="s">
        <v>131</v>
      </c>
      <c r="C95" s="125">
        <v>221.26963797585714</v>
      </c>
      <c r="D95" s="125">
        <f t="shared" si="0"/>
        <v>6</v>
      </c>
      <c r="E95" s="192">
        <f t="shared" si="1"/>
        <v>1.6577010910341701</v>
      </c>
      <c r="F95" s="161"/>
      <c r="G95" s="161"/>
      <c r="H95" s="161"/>
      <c r="I95" s="161"/>
      <c r="J95" s="161"/>
      <c r="K95" s="161"/>
      <c r="L95" s="161"/>
      <c r="M95" s="161"/>
      <c r="N95" s="161"/>
    </row>
    <row r="96" spans="1:14" x14ac:dyDescent="0.2">
      <c r="A96" s="161"/>
      <c r="B96" s="191" t="s">
        <v>132</v>
      </c>
      <c r="C96" s="125">
        <v>245.50415552620746</v>
      </c>
      <c r="D96" s="125">
        <f t="shared" si="0"/>
        <v>5</v>
      </c>
      <c r="E96" s="192">
        <f t="shared" si="1"/>
        <v>1.8392605067380356</v>
      </c>
      <c r="F96" s="161"/>
      <c r="G96" s="161"/>
      <c r="H96" s="161"/>
      <c r="I96" s="161"/>
      <c r="J96" s="161"/>
      <c r="K96" s="161"/>
      <c r="L96" s="161"/>
      <c r="M96" s="161"/>
      <c r="N96" s="161"/>
    </row>
    <row r="97" spans="1:14" x14ac:dyDescent="0.2">
      <c r="A97" s="161"/>
      <c r="B97" s="191" t="s">
        <v>139</v>
      </c>
      <c r="C97" s="125">
        <v>287.81154786121471</v>
      </c>
      <c r="D97" s="125">
        <f t="shared" si="0"/>
        <v>3</v>
      </c>
      <c r="E97" s="192">
        <f t="shared" si="1"/>
        <v>2.1562177317514575</v>
      </c>
      <c r="F97" s="161"/>
      <c r="G97" s="161"/>
      <c r="H97" s="161"/>
      <c r="I97" s="161"/>
      <c r="J97" s="161"/>
      <c r="K97" s="161"/>
      <c r="L97" s="161"/>
      <c r="M97" s="161"/>
      <c r="N97" s="161"/>
    </row>
    <row r="98" spans="1:14" x14ac:dyDescent="0.2">
      <c r="A98" s="161"/>
      <c r="B98" s="191" t="s">
        <v>140</v>
      </c>
      <c r="C98" s="125">
        <v>144.03511819652101</v>
      </c>
      <c r="D98" s="125">
        <f t="shared" si="0"/>
        <v>11</v>
      </c>
      <c r="E98" s="192">
        <f t="shared" si="1"/>
        <v>1.0790778832822085</v>
      </c>
      <c r="F98" s="161"/>
      <c r="G98" s="161"/>
      <c r="H98" s="161"/>
      <c r="I98" s="161"/>
      <c r="J98" s="161"/>
      <c r="K98" s="161"/>
      <c r="L98" s="161"/>
      <c r="M98" s="161"/>
      <c r="N98" s="161"/>
    </row>
    <row r="99" spans="1:14" x14ac:dyDescent="0.2">
      <c r="A99" s="161"/>
      <c r="B99" s="191">
        <v>2</v>
      </c>
      <c r="C99" s="125">
        <v>321.08083262580118</v>
      </c>
      <c r="D99" s="125">
        <f t="shared" si="0"/>
        <v>1</v>
      </c>
      <c r="E99" s="192">
        <f t="shared" si="1"/>
        <v>2.4054635395210666</v>
      </c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1:14" x14ac:dyDescent="0.2">
      <c r="A100" s="161"/>
      <c r="B100" s="191" t="s">
        <v>141</v>
      </c>
      <c r="C100" s="125">
        <v>317.38340780004324</v>
      </c>
      <c r="D100" s="125">
        <f t="shared" si="0"/>
        <v>2</v>
      </c>
      <c r="E100" s="192">
        <f t="shared" si="1"/>
        <v>2.3777632855515431</v>
      </c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1:14" hidden="1" x14ac:dyDescent="0.2">
      <c r="A101" s="161"/>
      <c r="B101" s="191" t="s">
        <v>142</v>
      </c>
      <c r="C101" s="125">
        <v>0</v>
      </c>
      <c r="D101" s="125">
        <f t="shared" si="0"/>
        <v>15</v>
      </c>
      <c r="E101" s="192">
        <f t="shared" si="1"/>
        <v>0</v>
      </c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1:14" x14ac:dyDescent="0.2">
      <c r="A102" s="161"/>
      <c r="B102" s="191">
        <v>3</v>
      </c>
      <c r="C102" s="125">
        <v>255.15159127779884</v>
      </c>
      <c r="D102" s="125">
        <f t="shared" si="0"/>
        <v>4</v>
      </c>
      <c r="E102" s="192">
        <f t="shared" si="1"/>
        <v>1.9115368701713236</v>
      </c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1:14" x14ac:dyDescent="0.2">
      <c r="A103" s="161"/>
      <c r="B103" s="191">
        <v>4</v>
      </c>
      <c r="C103" s="125">
        <v>89.20567742433191</v>
      </c>
      <c r="D103" s="125">
        <f t="shared" si="0"/>
        <v>14</v>
      </c>
      <c r="E103" s="192">
        <f t="shared" si="1"/>
        <v>0.66830835963536994</v>
      </c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1:14" x14ac:dyDescent="0.2">
      <c r="A104" s="161"/>
      <c r="B104" s="191" t="s">
        <v>138</v>
      </c>
      <c r="C104" s="125">
        <v>133.47981682138865</v>
      </c>
      <c r="D104" s="125">
        <f t="shared" si="0"/>
        <v>12</v>
      </c>
      <c r="E104" s="192">
        <f t="shared" si="1"/>
        <v>1</v>
      </c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1:14" x14ac:dyDescent="0.2">
      <c r="A105" s="161"/>
      <c r="B105" s="191" t="s">
        <v>137</v>
      </c>
      <c r="C105" s="125">
        <v>207.12355075392696</v>
      </c>
      <c r="D105" s="125">
        <f t="shared" si="0"/>
        <v>7</v>
      </c>
      <c r="E105" s="192">
        <f t="shared" si="1"/>
        <v>1.5517218684161225</v>
      </c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1:14" x14ac:dyDescent="0.2">
      <c r="A106" s="161"/>
      <c r="B106" s="191" t="s">
        <v>136</v>
      </c>
      <c r="C106" s="125">
        <v>197.17026833182712</v>
      </c>
      <c r="D106" s="125">
        <f t="shared" si="0"/>
        <v>8</v>
      </c>
      <c r="E106" s="192">
        <f t="shared" si="1"/>
        <v>1.4771541722720793</v>
      </c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1:14" x14ac:dyDescent="0.2">
      <c r="A107" s="161"/>
      <c r="B107" s="191" t="s">
        <v>135</v>
      </c>
      <c r="C107" s="125">
        <v>188.52318196373025</v>
      </c>
      <c r="D107" s="125">
        <f t="shared" si="0"/>
        <v>9</v>
      </c>
      <c r="E107" s="192">
        <f t="shared" si="1"/>
        <v>1.4123721956855542</v>
      </c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1:14" hidden="1" x14ac:dyDescent="0.2">
      <c r="A108" s="161"/>
      <c r="B108" s="191" t="s">
        <v>134</v>
      </c>
      <c r="C108" s="125">
        <v>0</v>
      </c>
      <c r="D108" s="125">
        <f t="shared" si="0"/>
        <v>15</v>
      </c>
      <c r="E108" s="192">
        <f t="shared" si="1"/>
        <v>0</v>
      </c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1:14" x14ac:dyDescent="0.2">
      <c r="B109" s="191" t="s">
        <v>133</v>
      </c>
      <c r="C109" s="125">
        <v>148.37671070289406</v>
      </c>
      <c r="D109" s="125">
        <f t="shared" si="0"/>
        <v>10</v>
      </c>
      <c r="E109" s="192">
        <f t="shared" si="1"/>
        <v>1.1116040929351825</v>
      </c>
      <c r="F109" s="161"/>
      <c r="G109" s="161"/>
      <c r="H109" s="161"/>
      <c r="I109" s="161"/>
      <c r="J109" s="161"/>
      <c r="K109" s="161"/>
      <c r="L109" s="161"/>
      <c r="M109" s="161"/>
      <c r="N109" s="16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B2:S139"/>
  <sheetViews>
    <sheetView workbookViewId="0"/>
  </sheetViews>
  <sheetFormatPr defaultColWidth="7.77734375" defaultRowHeight="15" x14ac:dyDescent="0.25"/>
  <cols>
    <col min="1" max="1" width="7.77734375" style="196"/>
    <col min="2" max="2" width="13.33203125" style="208" customWidth="1"/>
    <col min="3" max="3" width="15.33203125" style="196" customWidth="1"/>
    <col min="4" max="4" width="11.33203125" style="196" customWidth="1"/>
    <col min="5" max="5" width="16.21875" style="196" customWidth="1"/>
    <col min="6" max="6" width="9.77734375" style="196" customWidth="1"/>
    <col min="7" max="8" width="9.6640625" style="196" customWidth="1"/>
    <col min="9" max="11" width="7.77734375" style="196"/>
    <col min="12" max="12" width="9.77734375" style="196" customWidth="1"/>
    <col min="13" max="13" width="13.5546875" style="196" bestFit="1" customWidth="1"/>
    <col min="14" max="14" width="14.44140625" style="196" bestFit="1" customWidth="1"/>
    <col min="15" max="16384" width="7.77734375" style="196"/>
  </cols>
  <sheetData>
    <row r="2" spans="2:19" s="197" customFormat="1" ht="32.25" customHeight="1" x14ac:dyDescent="0.25">
      <c r="B2" s="268" t="s">
        <v>163</v>
      </c>
      <c r="C2" s="268"/>
      <c r="D2" s="268"/>
      <c r="E2" s="268"/>
      <c r="F2" s="268"/>
      <c r="H2" s="269" t="s">
        <v>164</v>
      </c>
      <c r="I2" s="269"/>
      <c r="J2" s="269"/>
      <c r="L2" s="203" t="s">
        <v>150</v>
      </c>
      <c r="M2" s="202" t="s">
        <v>40</v>
      </c>
      <c r="N2" s="196"/>
      <c r="O2" s="196"/>
      <c r="P2" s="196"/>
    </row>
    <row r="4" spans="2:19" x14ac:dyDescent="0.25">
      <c r="B4" s="206" t="s">
        <v>165</v>
      </c>
      <c r="C4" s="190" t="s">
        <v>93</v>
      </c>
      <c r="D4" s="190" t="s">
        <v>166</v>
      </c>
      <c r="E4" s="190" t="s">
        <v>167</v>
      </c>
      <c r="F4" s="190" t="s">
        <v>83</v>
      </c>
      <c r="H4" s="190" t="s">
        <v>168</v>
      </c>
      <c r="I4" s="190" t="s">
        <v>40</v>
      </c>
      <c r="J4" s="190" t="s">
        <v>154</v>
      </c>
      <c r="L4" s="190" t="s">
        <v>41</v>
      </c>
    </row>
    <row r="5" spans="2:19" x14ac:dyDescent="0.25">
      <c r="B5" s="207" t="s">
        <v>129</v>
      </c>
      <c r="C5" s="198">
        <f>Central!A87</f>
        <v>0</v>
      </c>
      <c r="D5" s="198">
        <f>Slow!A87</f>
        <v>0</v>
      </c>
      <c r="E5" s="198">
        <f>Step!A87</f>
        <v>0</v>
      </c>
      <c r="F5" s="198">
        <f>AVERAGE(C5:E5)</f>
        <v>0</v>
      </c>
      <c r="H5" s="198">
        <v>123.20985767607969</v>
      </c>
      <c r="I5" s="125">
        <v>191.18771018702026</v>
      </c>
      <c r="J5" s="125">
        <f>AVERAGE(H5:I5)</f>
        <v>157.19878393154997</v>
      </c>
      <c r="K5" s="199"/>
      <c r="L5" s="125">
        <f>-Central!A58</f>
        <v>0</v>
      </c>
      <c r="M5" s="199"/>
      <c r="N5" s="199"/>
      <c r="S5" s="200"/>
    </row>
    <row r="6" spans="2:19" x14ac:dyDescent="0.25">
      <c r="B6" s="207" t="s">
        <v>130</v>
      </c>
      <c r="C6" s="198">
        <f>Central!A88</f>
        <v>0</v>
      </c>
      <c r="D6" s="198">
        <f>Slow!A88</f>
        <v>0</v>
      </c>
      <c r="E6" s="198">
        <f>Step!A88</f>
        <v>0</v>
      </c>
      <c r="F6" s="198">
        <f t="shared" ref="F6:F10" si="0">AVERAGE(C6:E6)</f>
        <v>0</v>
      </c>
      <c r="H6" s="198">
        <v>152.95016814961622</v>
      </c>
      <c r="I6" s="125">
        <v>237.92248378829188</v>
      </c>
      <c r="J6" s="125">
        <f t="shared" ref="J6:J10" si="1">AVERAGE(H6:I6)</f>
        <v>195.43632596895407</v>
      </c>
      <c r="K6" s="199"/>
      <c r="L6" s="125">
        <f>-Central!A59</f>
        <v>0</v>
      </c>
      <c r="M6" s="199"/>
      <c r="N6" s="199"/>
      <c r="S6" s="200"/>
    </row>
    <row r="7" spans="2:19" x14ac:dyDescent="0.25">
      <c r="B7" s="207">
        <v>2</v>
      </c>
      <c r="C7" s="198">
        <f>Central!A89</f>
        <v>0</v>
      </c>
      <c r="D7" s="198">
        <f>Slow!A89</f>
        <v>0</v>
      </c>
      <c r="E7" s="198">
        <f>Step!A89</f>
        <v>0</v>
      </c>
      <c r="F7" s="198">
        <f t="shared" si="0"/>
        <v>0</v>
      </c>
      <c r="H7" s="198">
        <v>186.93909440508645</v>
      </c>
      <c r="I7" s="125">
        <v>288.90587317149721</v>
      </c>
      <c r="J7" s="125">
        <f t="shared" si="1"/>
        <v>237.92248378829183</v>
      </c>
      <c r="K7" s="199"/>
      <c r="L7" s="125">
        <f>-Central!A60</f>
        <v>0</v>
      </c>
      <c r="M7" s="199"/>
      <c r="N7" s="199"/>
      <c r="S7" s="200"/>
    </row>
    <row r="8" spans="2:19" x14ac:dyDescent="0.25">
      <c r="B8" s="207">
        <v>3</v>
      </c>
      <c r="C8" s="198">
        <f>Central!A90</f>
        <v>0</v>
      </c>
      <c r="D8" s="198">
        <f>Slow!A90</f>
        <v>0</v>
      </c>
      <c r="E8" s="198">
        <f>Step!A90</f>
        <v>0</v>
      </c>
      <c r="F8" s="198">
        <f t="shared" si="0"/>
        <v>0</v>
      </c>
      <c r="H8" s="198">
        <v>28.787227635111233</v>
      </c>
      <c r="I8" s="125">
        <v>47.978712725185382</v>
      </c>
      <c r="J8" s="125">
        <f t="shared" si="1"/>
        <v>38.382970180148305</v>
      </c>
      <c r="K8" s="199"/>
      <c r="L8" s="125">
        <f>-Central!A61</f>
        <v>0</v>
      </c>
      <c r="M8" s="199"/>
      <c r="N8" s="199"/>
      <c r="S8" s="200"/>
    </row>
    <row r="9" spans="2:19" x14ac:dyDescent="0.25">
      <c r="B9" s="207" t="s">
        <v>172</v>
      </c>
      <c r="C9" s="198">
        <f>Central!A91</f>
        <v>0</v>
      </c>
      <c r="D9" s="198">
        <f>Slow!A91</f>
        <v>0</v>
      </c>
      <c r="E9" s="198">
        <f>Step!A91</f>
        <v>0</v>
      </c>
      <c r="F9" s="198">
        <f t="shared" si="0"/>
        <v>0</v>
      </c>
      <c r="H9" s="198">
        <v>270.85801049486099</v>
      </c>
      <c r="I9" s="125">
        <v>404.88898400367736</v>
      </c>
      <c r="J9" s="125">
        <f t="shared" si="1"/>
        <v>337.87349724926918</v>
      </c>
      <c r="K9" s="199"/>
      <c r="L9" s="125">
        <f>-Central!A62</f>
        <v>0</v>
      </c>
      <c r="M9" s="199"/>
      <c r="N9" s="199"/>
      <c r="S9" s="200"/>
    </row>
    <row r="10" spans="2:19" x14ac:dyDescent="0.25">
      <c r="B10" s="207" t="s">
        <v>169</v>
      </c>
      <c r="C10" s="198">
        <f>Central!A92</f>
        <v>0</v>
      </c>
      <c r="D10" s="198">
        <f>Slow!A92</f>
        <v>0</v>
      </c>
      <c r="E10" s="198">
        <f>Step!A92</f>
        <v>0</v>
      </c>
      <c r="F10" s="198">
        <f t="shared" si="0"/>
        <v>0</v>
      </c>
      <c r="H10" s="198">
        <v>334.58724722386773</v>
      </c>
      <c r="I10" s="125">
        <v>502.60714698815434</v>
      </c>
      <c r="J10" s="125">
        <f t="shared" si="1"/>
        <v>418.59719710601104</v>
      </c>
      <c r="K10" s="199"/>
      <c r="L10" s="125">
        <f>-Central!A63</f>
        <v>0</v>
      </c>
      <c r="M10" s="199"/>
      <c r="N10" s="199"/>
      <c r="S10" s="200"/>
    </row>
    <row r="11" spans="2:19" ht="15.75" customHeight="1" x14ac:dyDescent="0.25"/>
    <row r="13" spans="2:19" ht="15.75" x14ac:dyDescent="0.25">
      <c r="B13" s="209" t="s">
        <v>155</v>
      </c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</row>
    <row r="15" spans="2:19" ht="15.75" x14ac:dyDescent="0.25">
      <c r="B15" s="206" t="s">
        <v>53</v>
      </c>
      <c r="C15" s="121" t="s">
        <v>144</v>
      </c>
      <c r="D15" s="121" t="s">
        <v>95</v>
      </c>
      <c r="E15" s="161"/>
      <c r="F15" s="161"/>
      <c r="L15" s="200"/>
      <c r="M15" s="211" t="s">
        <v>170</v>
      </c>
      <c r="N15" s="199">
        <f>MAX(C16:C21,C31:C36,C46:C51)</f>
        <v>-28.787227635111233</v>
      </c>
    </row>
    <row r="16" spans="2:19" ht="15.75" x14ac:dyDescent="0.25">
      <c r="B16" s="207" t="str">
        <f>$B$5</f>
        <v>1A</v>
      </c>
      <c r="C16" s="125">
        <f>AVERAGE(C5:E5)-H5</f>
        <v>-123.20985767607969</v>
      </c>
      <c r="D16" s="125">
        <f>RANK(C16,$C$16:$C$21)</f>
        <v>2</v>
      </c>
      <c r="E16" s="161"/>
      <c r="F16" s="161"/>
      <c r="L16" s="200"/>
      <c r="M16" s="211" t="s">
        <v>171</v>
      </c>
      <c r="N16" s="199">
        <f>MIN(C16:C21,C31:C36,C46:C51)</f>
        <v>-502.60714698815434</v>
      </c>
      <c r="Q16" s="199"/>
    </row>
    <row r="17" spans="2:17" ht="15.75" x14ac:dyDescent="0.25">
      <c r="B17" s="207" t="str">
        <f>$B$6</f>
        <v>1B</v>
      </c>
      <c r="C17" s="125">
        <f t="shared" ref="C17:C21" si="2">AVERAGE(C6:E6)-H6</f>
        <v>-152.95016814961622</v>
      </c>
      <c r="D17" s="125">
        <f t="shared" ref="D17:D21" si="3">RANK(C17,$C$16:$C$21)</f>
        <v>3</v>
      </c>
      <c r="E17" s="161"/>
      <c r="F17" s="161"/>
      <c r="L17" s="200"/>
      <c r="M17" s="200"/>
      <c r="N17" s="200"/>
      <c r="Q17" s="199"/>
    </row>
    <row r="18" spans="2:17" ht="15.75" x14ac:dyDescent="0.25">
      <c r="B18" s="207">
        <f>$B$7</f>
        <v>2</v>
      </c>
      <c r="C18" s="125">
        <f t="shared" si="2"/>
        <v>-186.93909440508645</v>
      </c>
      <c r="D18" s="125">
        <f t="shared" si="3"/>
        <v>4</v>
      </c>
      <c r="E18" s="161"/>
      <c r="F18" s="161"/>
      <c r="L18" s="200"/>
      <c r="M18" s="200"/>
      <c r="N18" s="200"/>
      <c r="Q18" s="199"/>
    </row>
    <row r="19" spans="2:17" ht="15.75" x14ac:dyDescent="0.25">
      <c r="B19" s="207">
        <f>$B$8</f>
        <v>3</v>
      </c>
      <c r="C19" s="125">
        <f t="shared" si="2"/>
        <v>-28.787227635111233</v>
      </c>
      <c r="D19" s="125">
        <f t="shared" si="3"/>
        <v>1</v>
      </c>
      <c r="E19" s="161"/>
      <c r="F19" s="161"/>
      <c r="L19" s="200"/>
      <c r="M19" s="200"/>
      <c r="N19" s="200"/>
      <c r="Q19" s="199"/>
    </row>
    <row r="20" spans="2:17" ht="15.75" x14ac:dyDescent="0.25">
      <c r="B20" s="207" t="str">
        <f>$B$9</f>
        <v>1A + Battery</v>
      </c>
      <c r="C20" s="125">
        <f t="shared" si="2"/>
        <v>-270.85801049486099</v>
      </c>
      <c r="D20" s="125">
        <f t="shared" si="3"/>
        <v>5</v>
      </c>
      <c r="E20" s="161"/>
      <c r="F20" s="161"/>
      <c r="L20" s="200"/>
      <c r="M20" s="200"/>
      <c r="N20" s="200"/>
      <c r="Q20" s="199"/>
    </row>
    <row r="21" spans="2:17" ht="15.75" x14ac:dyDescent="0.25">
      <c r="B21" s="207" t="str">
        <f>$B$10</f>
        <v>2 + Battery</v>
      </c>
      <c r="C21" s="125">
        <f t="shared" si="2"/>
        <v>-334.58724722386773</v>
      </c>
      <c r="D21" s="125">
        <f t="shared" si="3"/>
        <v>6</v>
      </c>
      <c r="E21" s="161"/>
      <c r="F21" s="161"/>
      <c r="M21" s="200"/>
      <c r="N21" s="200"/>
      <c r="Q21" s="199"/>
    </row>
    <row r="22" spans="2:17" ht="15.75" x14ac:dyDescent="0.25">
      <c r="B22" s="165"/>
      <c r="C22" s="161"/>
      <c r="D22" s="161"/>
      <c r="E22" s="161"/>
      <c r="F22" s="161"/>
      <c r="Q22" s="199"/>
    </row>
    <row r="23" spans="2:17" ht="15.75" x14ac:dyDescent="0.25">
      <c r="B23" s="210"/>
      <c r="C23" s="161"/>
      <c r="D23" s="161"/>
      <c r="E23" s="161"/>
      <c r="F23" s="161"/>
      <c r="Q23" s="199"/>
    </row>
    <row r="24" spans="2:17" ht="15.75" x14ac:dyDescent="0.25">
      <c r="B24" s="165"/>
      <c r="C24" s="161"/>
      <c r="D24" s="161"/>
      <c r="E24" s="161"/>
      <c r="F24" s="161"/>
      <c r="Q24" s="199"/>
    </row>
    <row r="25" spans="2:17" ht="15.75" x14ac:dyDescent="0.25">
      <c r="B25" s="165"/>
      <c r="C25" s="161"/>
      <c r="D25" s="161"/>
      <c r="E25" s="161"/>
      <c r="F25" s="161"/>
      <c r="Q25" s="199"/>
    </row>
    <row r="26" spans="2:17" ht="15.75" x14ac:dyDescent="0.25">
      <c r="B26" s="165"/>
      <c r="C26" s="161"/>
      <c r="D26" s="161"/>
      <c r="E26" s="161"/>
      <c r="F26" s="161"/>
      <c r="Q26" s="199"/>
    </row>
    <row r="27" spans="2:17" ht="15.75" x14ac:dyDescent="0.25">
      <c r="B27" s="165"/>
      <c r="C27" s="161"/>
      <c r="D27" s="161"/>
      <c r="E27" s="161"/>
      <c r="F27" s="161"/>
      <c r="Q27" s="199"/>
    </row>
    <row r="28" spans="2:17" ht="15.75" x14ac:dyDescent="0.25">
      <c r="B28" s="209" t="s">
        <v>156</v>
      </c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Q28" s="199"/>
    </row>
    <row r="29" spans="2:17" x14ac:dyDescent="0.25">
      <c r="Q29" s="199"/>
    </row>
    <row r="30" spans="2:17" ht="15.75" x14ac:dyDescent="0.25">
      <c r="B30" s="206" t="s">
        <v>53</v>
      </c>
      <c r="C30" s="121" t="s">
        <v>144</v>
      </c>
      <c r="D30" s="121" t="s">
        <v>95</v>
      </c>
      <c r="E30" s="161"/>
      <c r="F30" s="161"/>
      <c r="M30" s="201"/>
      <c r="N30" s="201"/>
      <c r="Q30" s="199"/>
    </row>
    <row r="31" spans="2:17" ht="15.75" x14ac:dyDescent="0.25">
      <c r="B31" s="207" t="str">
        <f>$B$5</f>
        <v>1A</v>
      </c>
      <c r="C31" s="125">
        <f>AVERAGE(C5:E5)-I5</f>
        <v>-191.18771018702026</v>
      </c>
      <c r="D31" s="125">
        <f>RANK(C31,$C$31:$C$36)</f>
        <v>2</v>
      </c>
      <c r="E31" s="161"/>
      <c r="F31" s="161"/>
      <c r="M31" s="200"/>
      <c r="N31" s="200"/>
    </row>
    <row r="32" spans="2:17" ht="15.75" x14ac:dyDescent="0.25">
      <c r="B32" s="207" t="str">
        <f>$B$6</f>
        <v>1B</v>
      </c>
      <c r="C32" s="125">
        <f t="shared" ref="C32:C36" si="4">AVERAGE(C6:E6)-I6</f>
        <v>-237.92248378829188</v>
      </c>
      <c r="D32" s="125">
        <f t="shared" ref="D32:D36" si="5">RANK(C32,$C$31:$C$36)</f>
        <v>3</v>
      </c>
      <c r="E32" s="161"/>
      <c r="F32" s="161"/>
      <c r="M32" s="200"/>
      <c r="N32" s="200"/>
    </row>
    <row r="33" spans="2:17" ht="15.75" x14ac:dyDescent="0.25">
      <c r="B33" s="207">
        <f>$B$7</f>
        <v>2</v>
      </c>
      <c r="C33" s="125">
        <f t="shared" si="4"/>
        <v>-288.90587317149721</v>
      </c>
      <c r="D33" s="125">
        <f t="shared" si="5"/>
        <v>4</v>
      </c>
      <c r="E33" s="161"/>
      <c r="F33" s="161"/>
      <c r="M33" s="200"/>
      <c r="N33" s="200"/>
    </row>
    <row r="34" spans="2:17" ht="15.75" x14ac:dyDescent="0.25">
      <c r="B34" s="207">
        <f>$B$8</f>
        <v>3</v>
      </c>
      <c r="C34" s="125">
        <f t="shared" si="4"/>
        <v>-47.978712725185382</v>
      </c>
      <c r="D34" s="125">
        <f t="shared" si="5"/>
        <v>1</v>
      </c>
      <c r="E34" s="161"/>
      <c r="F34" s="161"/>
      <c r="M34" s="200"/>
      <c r="N34" s="200"/>
    </row>
    <row r="35" spans="2:17" ht="15.75" x14ac:dyDescent="0.25">
      <c r="B35" s="207" t="str">
        <f>$B$9</f>
        <v>1A + Battery</v>
      </c>
      <c r="C35" s="125">
        <f t="shared" si="4"/>
        <v>-404.88898400367736</v>
      </c>
      <c r="D35" s="125">
        <f t="shared" si="5"/>
        <v>5</v>
      </c>
      <c r="E35" s="161"/>
      <c r="F35" s="161"/>
      <c r="M35" s="200"/>
      <c r="N35" s="200"/>
    </row>
    <row r="36" spans="2:17" ht="15.75" x14ac:dyDescent="0.25">
      <c r="B36" s="207" t="str">
        <f>$B$10</f>
        <v>2 + Battery</v>
      </c>
      <c r="C36" s="125">
        <f t="shared" si="4"/>
        <v>-502.60714698815434</v>
      </c>
      <c r="D36" s="125">
        <f t="shared" si="5"/>
        <v>6</v>
      </c>
      <c r="E36" s="161"/>
      <c r="F36" s="161"/>
      <c r="M36" s="200"/>
      <c r="N36" s="200"/>
    </row>
    <row r="37" spans="2:17" ht="15.75" x14ac:dyDescent="0.25">
      <c r="B37" s="165"/>
      <c r="C37" s="161"/>
      <c r="D37" s="161"/>
      <c r="E37" s="161"/>
      <c r="F37" s="161"/>
    </row>
    <row r="38" spans="2:17" ht="15.75" x14ac:dyDescent="0.25">
      <c r="B38" s="210"/>
      <c r="C38" s="161"/>
      <c r="D38" s="161"/>
      <c r="E38" s="161"/>
      <c r="F38" s="161"/>
    </row>
    <row r="39" spans="2:17" ht="15.75" x14ac:dyDescent="0.25">
      <c r="B39" s="165"/>
      <c r="C39" s="161"/>
      <c r="D39" s="161"/>
      <c r="E39" s="161"/>
      <c r="F39" s="161"/>
      <c r="G39" s="161"/>
      <c r="H39" s="161"/>
      <c r="Q39" s="199"/>
    </row>
    <row r="40" spans="2:17" ht="15.75" x14ac:dyDescent="0.25">
      <c r="B40" s="165"/>
      <c r="C40" s="161"/>
      <c r="D40" s="161"/>
      <c r="E40" s="161"/>
      <c r="F40" s="161"/>
      <c r="G40" s="161"/>
      <c r="H40" s="161"/>
      <c r="Q40" s="199"/>
    </row>
    <row r="41" spans="2:17" ht="15.75" x14ac:dyDescent="0.25">
      <c r="B41" s="165"/>
      <c r="C41" s="161"/>
      <c r="D41" s="161"/>
      <c r="E41" s="161"/>
      <c r="F41" s="161"/>
      <c r="G41" s="161"/>
      <c r="H41" s="161"/>
      <c r="Q41" s="199"/>
    </row>
    <row r="42" spans="2:17" ht="15.75" x14ac:dyDescent="0.25">
      <c r="B42" s="165"/>
      <c r="C42" s="161"/>
      <c r="D42" s="161"/>
      <c r="E42" s="161"/>
      <c r="F42" s="161"/>
      <c r="G42" s="161"/>
      <c r="H42" s="161"/>
      <c r="Q42" s="199"/>
    </row>
    <row r="43" spans="2:17" ht="15.75" x14ac:dyDescent="0.25">
      <c r="B43" s="209" t="s">
        <v>157</v>
      </c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Q43" s="199"/>
    </row>
    <row r="44" spans="2:17" x14ac:dyDescent="0.25">
      <c r="Q44" s="199"/>
    </row>
    <row r="45" spans="2:17" ht="15.75" x14ac:dyDescent="0.25">
      <c r="B45" s="206" t="s">
        <v>53</v>
      </c>
      <c r="C45" s="121" t="s">
        <v>144</v>
      </c>
      <c r="D45" s="121" t="s">
        <v>95</v>
      </c>
      <c r="E45" s="161"/>
      <c r="F45" s="161"/>
      <c r="M45" s="201"/>
      <c r="N45" s="201"/>
      <c r="Q45" s="199"/>
    </row>
    <row r="46" spans="2:17" ht="15.75" x14ac:dyDescent="0.25">
      <c r="B46" s="207" t="str">
        <f>$B$5</f>
        <v>1A</v>
      </c>
      <c r="C46" s="125">
        <f>AVERAGE(C5:E5)-AVERAGE(H5:I5)</f>
        <v>-157.19878393154997</v>
      </c>
      <c r="D46" s="125">
        <f>RANK(C46,$C$46:$C$51)</f>
        <v>2</v>
      </c>
      <c r="E46" s="161"/>
      <c r="F46" s="161"/>
      <c r="M46" s="200"/>
      <c r="N46" s="200"/>
      <c r="Q46" s="199"/>
    </row>
    <row r="47" spans="2:17" ht="15.75" x14ac:dyDescent="0.25">
      <c r="B47" s="207" t="str">
        <f>$B$6</f>
        <v>1B</v>
      </c>
      <c r="C47" s="125">
        <f t="shared" ref="C47:C51" si="6">AVERAGE(C6:E6)-AVERAGE(H6:I6)</f>
        <v>-195.43632596895407</v>
      </c>
      <c r="D47" s="125">
        <f t="shared" ref="D47:D51" si="7">RANK(C47,$C$46:$C$51)</f>
        <v>3</v>
      </c>
      <c r="E47" s="161"/>
      <c r="F47" s="161"/>
      <c r="M47" s="200"/>
      <c r="N47" s="200"/>
      <c r="Q47" s="199"/>
    </row>
    <row r="48" spans="2:17" ht="15.75" x14ac:dyDescent="0.25">
      <c r="B48" s="207">
        <f>$B$7</f>
        <v>2</v>
      </c>
      <c r="C48" s="125">
        <f t="shared" si="6"/>
        <v>-237.92248378829183</v>
      </c>
      <c r="D48" s="125">
        <f t="shared" si="7"/>
        <v>4</v>
      </c>
      <c r="E48" s="161"/>
      <c r="F48" s="161"/>
      <c r="M48" s="200"/>
      <c r="N48" s="200"/>
      <c r="Q48" s="199"/>
    </row>
    <row r="49" spans="2:17" ht="15.75" x14ac:dyDescent="0.25">
      <c r="B49" s="207">
        <f>$B$8</f>
        <v>3</v>
      </c>
      <c r="C49" s="125">
        <f t="shared" si="6"/>
        <v>-38.382970180148305</v>
      </c>
      <c r="D49" s="125">
        <f t="shared" si="7"/>
        <v>1</v>
      </c>
      <c r="E49" s="161"/>
      <c r="F49" s="161"/>
      <c r="M49" s="200"/>
      <c r="N49" s="200"/>
      <c r="Q49" s="199"/>
    </row>
    <row r="50" spans="2:17" ht="15.75" x14ac:dyDescent="0.25">
      <c r="B50" s="207" t="str">
        <f>$B$9</f>
        <v>1A + Battery</v>
      </c>
      <c r="C50" s="125">
        <f t="shared" si="6"/>
        <v>-337.87349724926918</v>
      </c>
      <c r="D50" s="125">
        <f t="shared" si="7"/>
        <v>5</v>
      </c>
      <c r="E50" s="161"/>
      <c r="F50" s="161"/>
      <c r="M50" s="200"/>
      <c r="N50" s="200"/>
      <c r="Q50" s="199"/>
    </row>
    <row r="51" spans="2:17" ht="15.75" x14ac:dyDescent="0.25">
      <c r="B51" s="207" t="str">
        <f>$B$10</f>
        <v>2 + Battery</v>
      </c>
      <c r="C51" s="125">
        <f t="shared" si="6"/>
        <v>-418.59719710601104</v>
      </c>
      <c r="D51" s="125">
        <f t="shared" si="7"/>
        <v>6</v>
      </c>
      <c r="E51" s="161"/>
      <c r="F51" s="161"/>
      <c r="M51" s="200"/>
      <c r="N51" s="200"/>
      <c r="Q51" s="199"/>
    </row>
    <row r="52" spans="2:17" ht="15.75" x14ac:dyDescent="0.25">
      <c r="B52" s="165"/>
      <c r="C52" s="161"/>
      <c r="D52" s="161"/>
      <c r="E52" s="161"/>
      <c r="F52" s="161"/>
      <c r="Q52" s="199"/>
    </row>
    <row r="53" spans="2:17" ht="15.75" x14ac:dyDescent="0.25">
      <c r="B53" s="210"/>
      <c r="C53" s="161"/>
      <c r="D53" s="161"/>
      <c r="E53" s="161"/>
      <c r="F53" s="161"/>
      <c r="Q53" s="199"/>
    </row>
    <row r="54" spans="2:17" ht="15.75" x14ac:dyDescent="0.25">
      <c r="B54" s="165"/>
      <c r="C54" s="161"/>
      <c r="D54" s="161"/>
      <c r="E54" s="161"/>
      <c r="F54" s="161"/>
      <c r="G54" s="161"/>
      <c r="H54" s="161"/>
    </row>
    <row r="55" spans="2:17" ht="15.75" x14ac:dyDescent="0.25">
      <c r="B55" s="165"/>
      <c r="C55" s="161"/>
      <c r="D55" s="161"/>
      <c r="E55" s="161"/>
      <c r="F55" s="161"/>
      <c r="G55" s="161"/>
      <c r="H55" s="161"/>
    </row>
    <row r="56" spans="2:17" ht="15.75" x14ac:dyDescent="0.25">
      <c r="B56" s="165"/>
      <c r="C56" s="161"/>
      <c r="D56" s="161"/>
      <c r="E56" s="161"/>
      <c r="F56" s="161"/>
      <c r="G56" s="161"/>
      <c r="H56" s="161"/>
    </row>
    <row r="57" spans="2:17" ht="15.75" x14ac:dyDescent="0.25">
      <c r="B57" s="165"/>
      <c r="C57" s="161"/>
      <c r="D57" s="161"/>
      <c r="E57" s="161"/>
      <c r="F57" s="161"/>
      <c r="G57" s="161"/>
      <c r="H57" s="161"/>
    </row>
    <row r="58" spans="2:17" ht="15.75" x14ac:dyDescent="0.25">
      <c r="B58" s="209" t="s">
        <v>158</v>
      </c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</row>
    <row r="59" spans="2:17" x14ac:dyDescent="0.25">
      <c r="L59" s="204"/>
      <c r="M59" s="204"/>
      <c r="N59" s="204"/>
    </row>
    <row r="60" spans="2:17" ht="15.75" x14ac:dyDescent="0.25">
      <c r="B60" s="206" t="s">
        <v>53</v>
      </c>
      <c r="C60" s="121" t="s">
        <v>159</v>
      </c>
      <c r="D60" s="121" t="s">
        <v>95</v>
      </c>
      <c r="E60" s="161"/>
      <c r="F60" s="161"/>
      <c r="L60" s="204"/>
      <c r="M60" s="211" t="s">
        <v>170</v>
      </c>
      <c r="N60" s="212">
        <f>MAX(C61:C66,C74:C79,C90:C95,C103:C108,C119:C124,C132:C137)</f>
        <v>-28.787227635111233</v>
      </c>
    </row>
    <row r="61" spans="2:17" ht="15.75" x14ac:dyDescent="0.25">
      <c r="B61" s="207" t="str">
        <f>$B$5</f>
        <v>1A</v>
      </c>
      <c r="C61" s="125">
        <f>C5-H5</f>
        <v>-123.20985767607969</v>
      </c>
      <c r="D61" s="125">
        <f>RANK(C61,$C$61:$C$66)</f>
        <v>2</v>
      </c>
      <c r="E61" s="161"/>
      <c r="F61" s="161"/>
      <c r="L61" s="204"/>
      <c r="M61" s="211" t="s">
        <v>171</v>
      </c>
      <c r="N61" s="212">
        <f>MIN(C61:C66,C74:C79,C90:C95,C103:C108,C119:C124,C132:C137)</f>
        <v>-502.60714698815434</v>
      </c>
    </row>
    <row r="62" spans="2:17" ht="15.75" x14ac:dyDescent="0.25">
      <c r="B62" s="207" t="str">
        <f>$B$6</f>
        <v>1B</v>
      </c>
      <c r="C62" s="125">
        <f t="shared" ref="C62:C66" si="8">C6-H6</f>
        <v>-152.95016814961622</v>
      </c>
      <c r="D62" s="125">
        <f t="shared" ref="D62:D66" si="9">RANK(C62,$C$61:$C$66)</f>
        <v>3</v>
      </c>
      <c r="E62" s="161"/>
      <c r="F62" s="161"/>
      <c r="L62" s="204"/>
      <c r="M62" s="205"/>
      <c r="N62" s="204"/>
    </row>
    <row r="63" spans="2:17" ht="15.75" x14ac:dyDescent="0.25">
      <c r="B63" s="207">
        <f>$B$7</f>
        <v>2</v>
      </c>
      <c r="C63" s="125">
        <f t="shared" si="8"/>
        <v>-186.93909440508645</v>
      </c>
      <c r="D63" s="125">
        <f t="shared" si="9"/>
        <v>4</v>
      </c>
      <c r="E63" s="161"/>
      <c r="F63" s="161"/>
      <c r="L63" s="204"/>
      <c r="M63" s="205"/>
      <c r="N63" s="204"/>
    </row>
    <row r="64" spans="2:17" ht="15.75" x14ac:dyDescent="0.25">
      <c r="B64" s="207">
        <f>$B$8</f>
        <v>3</v>
      </c>
      <c r="C64" s="125">
        <f t="shared" si="8"/>
        <v>-28.787227635111233</v>
      </c>
      <c r="D64" s="125">
        <f t="shared" si="9"/>
        <v>1</v>
      </c>
      <c r="E64" s="161"/>
      <c r="F64" s="161"/>
      <c r="L64" s="204"/>
      <c r="M64" s="205"/>
      <c r="N64" s="204"/>
    </row>
    <row r="65" spans="2:14" ht="15.75" x14ac:dyDescent="0.25">
      <c r="B65" s="207" t="str">
        <f>$B$9</f>
        <v>1A + Battery</v>
      </c>
      <c r="C65" s="125">
        <f t="shared" si="8"/>
        <v>-270.85801049486099</v>
      </c>
      <c r="D65" s="125">
        <f t="shared" si="9"/>
        <v>5</v>
      </c>
      <c r="E65" s="161"/>
      <c r="F65" s="161"/>
      <c r="L65" s="204"/>
      <c r="M65" s="205"/>
      <c r="N65" s="204"/>
    </row>
    <row r="66" spans="2:14" ht="15.75" x14ac:dyDescent="0.25">
      <c r="B66" s="207" t="str">
        <f>$B$10</f>
        <v>2 + Battery</v>
      </c>
      <c r="C66" s="125">
        <f t="shared" si="8"/>
        <v>-334.58724722386773</v>
      </c>
      <c r="D66" s="125">
        <f t="shared" si="9"/>
        <v>6</v>
      </c>
      <c r="E66" s="161"/>
      <c r="F66" s="161"/>
      <c r="L66" s="204"/>
      <c r="M66" s="205"/>
      <c r="N66" s="204"/>
    </row>
    <row r="67" spans="2:14" ht="15.75" x14ac:dyDescent="0.25">
      <c r="B67" s="165"/>
      <c r="C67" s="161"/>
      <c r="D67" s="161"/>
      <c r="E67" s="161"/>
      <c r="F67" s="161"/>
      <c r="L67" s="204"/>
      <c r="M67" s="204"/>
      <c r="N67" s="204"/>
    </row>
    <row r="68" spans="2:14" ht="15.75" x14ac:dyDescent="0.25">
      <c r="B68" s="210"/>
      <c r="C68" s="161"/>
      <c r="D68" s="161"/>
      <c r="E68" s="161"/>
      <c r="F68" s="161"/>
      <c r="L68" s="204"/>
      <c r="M68" s="204"/>
      <c r="N68" s="204"/>
    </row>
    <row r="69" spans="2:14" ht="15.75" x14ac:dyDescent="0.25">
      <c r="B69" s="165"/>
      <c r="C69" s="161"/>
      <c r="D69" s="161"/>
      <c r="E69" s="161"/>
      <c r="F69" s="161"/>
      <c r="L69" s="204"/>
      <c r="M69" s="204"/>
      <c r="N69" s="204"/>
    </row>
    <row r="70" spans="2:14" ht="15.75" x14ac:dyDescent="0.25">
      <c r="B70" s="165"/>
      <c r="C70" s="161"/>
      <c r="D70" s="161"/>
      <c r="E70" s="161"/>
      <c r="F70" s="161"/>
      <c r="L70" s="204"/>
      <c r="M70" s="204"/>
      <c r="N70" s="204"/>
    </row>
    <row r="71" spans="2:14" ht="15.75" x14ac:dyDescent="0.25">
      <c r="B71" s="165"/>
      <c r="C71" s="161"/>
      <c r="D71" s="161"/>
      <c r="E71" s="161"/>
      <c r="F71" s="161"/>
    </row>
    <row r="73" spans="2:14" x14ac:dyDescent="0.25">
      <c r="B73" s="206" t="s">
        <v>53</v>
      </c>
      <c r="C73" s="121" t="s">
        <v>160</v>
      </c>
      <c r="D73" s="121" t="s">
        <v>95</v>
      </c>
    </row>
    <row r="74" spans="2:14" x14ac:dyDescent="0.25">
      <c r="B74" s="207" t="str">
        <f>$B$5</f>
        <v>1A</v>
      </c>
      <c r="C74" s="125">
        <f>C5-I5</f>
        <v>-191.18771018702026</v>
      </c>
      <c r="D74" s="125">
        <f>RANK(C74,$C$74:$C$79)</f>
        <v>2</v>
      </c>
    </row>
    <row r="75" spans="2:14" x14ac:dyDescent="0.25">
      <c r="B75" s="207" t="str">
        <f>$B$6</f>
        <v>1B</v>
      </c>
      <c r="C75" s="125">
        <f t="shared" ref="C75:C79" si="10">C6-I6</f>
        <v>-237.92248378829188</v>
      </c>
      <c r="D75" s="125">
        <f t="shared" ref="D75:D79" si="11">RANK(C75,$C$74:$C$79)</f>
        <v>3</v>
      </c>
    </row>
    <row r="76" spans="2:14" x14ac:dyDescent="0.25">
      <c r="B76" s="207">
        <f>$B$7</f>
        <v>2</v>
      </c>
      <c r="C76" s="125">
        <f t="shared" si="10"/>
        <v>-288.90587317149721</v>
      </c>
      <c r="D76" s="125">
        <f t="shared" si="11"/>
        <v>4</v>
      </c>
    </row>
    <row r="77" spans="2:14" x14ac:dyDescent="0.25">
      <c r="B77" s="207">
        <f>$B$8</f>
        <v>3</v>
      </c>
      <c r="C77" s="125">
        <f t="shared" si="10"/>
        <v>-47.978712725185382</v>
      </c>
      <c r="D77" s="125">
        <f t="shared" si="11"/>
        <v>1</v>
      </c>
    </row>
    <row r="78" spans="2:14" x14ac:dyDescent="0.25">
      <c r="B78" s="207" t="str">
        <f>$B$9</f>
        <v>1A + Battery</v>
      </c>
      <c r="C78" s="125">
        <f t="shared" si="10"/>
        <v>-404.88898400367736</v>
      </c>
      <c r="D78" s="125">
        <f t="shared" si="11"/>
        <v>5</v>
      </c>
    </row>
    <row r="79" spans="2:14" x14ac:dyDescent="0.25">
      <c r="B79" s="207" t="str">
        <f>$B$10</f>
        <v>2 + Battery</v>
      </c>
      <c r="C79" s="125">
        <f t="shared" si="10"/>
        <v>-502.60714698815434</v>
      </c>
      <c r="D79" s="125">
        <f t="shared" si="11"/>
        <v>6</v>
      </c>
    </row>
    <row r="81" spans="2:14" x14ac:dyDescent="0.25">
      <c r="B81" s="210"/>
    </row>
    <row r="87" spans="2:14" ht="15.75" x14ac:dyDescent="0.25">
      <c r="B87" s="209" t="s">
        <v>161</v>
      </c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</row>
    <row r="89" spans="2:14" ht="15.75" x14ac:dyDescent="0.25">
      <c r="B89" s="206" t="s">
        <v>53</v>
      </c>
      <c r="C89" s="121" t="s">
        <v>159</v>
      </c>
      <c r="D89" s="121" t="s">
        <v>95</v>
      </c>
      <c r="E89" s="161"/>
      <c r="F89" s="161"/>
    </row>
    <row r="90" spans="2:14" ht="15.75" x14ac:dyDescent="0.25">
      <c r="B90" s="207" t="str">
        <f>$B$5</f>
        <v>1A</v>
      </c>
      <c r="C90" s="125">
        <f>D5-H5</f>
        <v>-123.20985767607969</v>
      </c>
      <c r="D90" s="125">
        <f>RANK(C90,$C$90:$C$95)</f>
        <v>2</v>
      </c>
      <c r="E90" s="161"/>
      <c r="F90" s="161"/>
    </row>
    <row r="91" spans="2:14" ht="15.75" x14ac:dyDescent="0.25">
      <c r="B91" s="207" t="str">
        <f>$B$6</f>
        <v>1B</v>
      </c>
      <c r="C91" s="125">
        <f t="shared" ref="C91:C95" si="12">D6-H6</f>
        <v>-152.95016814961622</v>
      </c>
      <c r="D91" s="125">
        <f t="shared" ref="D91:D95" si="13">RANK(C91,$C$90:$C$95)</f>
        <v>3</v>
      </c>
      <c r="E91" s="161"/>
      <c r="F91" s="161"/>
    </row>
    <row r="92" spans="2:14" ht="15.75" x14ac:dyDescent="0.25">
      <c r="B92" s="207">
        <f>$B$7</f>
        <v>2</v>
      </c>
      <c r="C92" s="125">
        <f t="shared" si="12"/>
        <v>-186.93909440508645</v>
      </c>
      <c r="D92" s="125">
        <f t="shared" si="13"/>
        <v>4</v>
      </c>
      <c r="E92" s="161"/>
      <c r="F92" s="161"/>
    </row>
    <row r="93" spans="2:14" ht="15.75" x14ac:dyDescent="0.25">
      <c r="B93" s="207">
        <f>$B$8</f>
        <v>3</v>
      </c>
      <c r="C93" s="125">
        <f t="shared" si="12"/>
        <v>-28.787227635111233</v>
      </c>
      <c r="D93" s="125">
        <f t="shared" si="13"/>
        <v>1</v>
      </c>
      <c r="E93" s="161"/>
      <c r="F93" s="161"/>
    </row>
    <row r="94" spans="2:14" ht="15.75" x14ac:dyDescent="0.25">
      <c r="B94" s="207" t="str">
        <f>$B$9</f>
        <v>1A + Battery</v>
      </c>
      <c r="C94" s="125">
        <f t="shared" si="12"/>
        <v>-270.85801049486099</v>
      </c>
      <c r="D94" s="125">
        <f t="shared" si="13"/>
        <v>5</v>
      </c>
      <c r="E94" s="161"/>
      <c r="F94" s="161"/>
    </row>
    <row r="95" spans="2:14" ht="15.75" x14ac:dyDescent="0.25">
      <c r="B95" s="207" t="str">
        <f>$B$10</f>
        <v>2 + Battery</v>
      </c>
      <c r="C95" s="125">
        <f t="shared" si="12"/>
        <v>-334.58724722386773</v>
      </c>
      <c r="D95" s="125">
        <f t="shared" si="13"/>
        <v>6</v>
      </c>
      <c r="E95" s="161"/>
      <c r="F95" s="161"/>
    </row>
    <row r="96" spans="2:14" ht="15.75" x14ac:dyDescent="0.25">
      <c r="B96" s="165"/>
      <c r="C96" s="161"/>
      <c r="D96" s="161"/>
      <c r="E96" s="161"/>
      <c r="F96" s="161"/>
    </row>
    <row r="97" spans="2:6" ht="15.75" x14ac:dyDescent="0.25">
      <c r="B97" s="210"/>
      <c r="C97" s="161"/>
      <c r="D97" s="161"/>
      <c r="E97" s="161"/>
      <c r="F97" s="161"/>
    </row>
    <row r="98" spans="2:6" ht="15.75" x14ac:dyDescent="0.25">
      <c r="B98" s="165"/>
      <c r="C98" s="161"/>
      <c r="D98" s="161"/>
      <c r="E98" s="161"/>
      <c r="F98" s="161"/>
    </row>
    <row r="99" spans="2:6" ht="15.75" x14ac:dyDescent="0.25">
      <c r="B99" s="165"/>
      <c r="C99" s="161"/>
      <c r="D99" s="161"/>
      <c r="E99" s="161"/>
      <c r="F99" s="161"/>
    </row>
    <row r="100" spans="2:6" ht="15.75" x14ac:dyDescent="0.25">
      <c r="B100" s="165"/>
      <c r="C100" s="161"/>
      <c r="D100" s="161"/>
      <c r="E100" s="161"/>
      <c r="F100" s="161"/>
    </row>
    <row r="102" spans="2:6" x14ac:dyDescent="0.25">
      <c r="B102" s="206" t="s">
        <v>53</v>
      </c>
      <c r="C102" s="121" t="s">
        <v>160</v>
      </c>
      <c r="D102" s="121" t="s">
        <v>95</v>
      </c>
    </row>
    <row r="103" spans="2:6" x14ac:dyDescent="0.25">
      <c r="B103" s="207" t="str">
        <f>$B$5</f>
        <v>1A</v>
      </c>
      <c r="C103" s="125">
        <f>D5-I5</f>
        <v>-191.18771018702026</v>
      </c>
      <c r="D103" s="125">
        <f>RANK(C103,$C$103:$C$108)</f>
        <v>2</v>
      </c>
    </row>
    <row r="104" spans="2:6" x14ac:dyDescent="0.25">
      <c r="B104" s="207" t="str">
        <f>$B$6</f>
        <v>1B</v>
      </c>
      <c r="C104" s="125">
        <f t="shared" ref="C104:C108" si="14">D6-I6</f>
        <v>-237.92248378829188</v>
      </c>
      <c r="D104" s="125">
        <f t="shared" ref="D104:D108" si="15">RANK(C104,$C$103:$C$108)</f>
        <v>3</v>
      </c>
    </row>
    <row r="105" spans="2:6" x14ac:dyDescent="0.25">
      <c r="B105" s="207">
        <f>$B$7</f>
        <v>2</v>
      </c>
      <c r="C105" s="125">
        <f t="shared" si="14"/>
        <v>-288.90587317149721</v>
      </c>
      <c r="D105" s="125">
        <f t="shared" si="15"/>
        <v>4</v>
      </c>
    </row>
    <row r="106" spans="2:6" x14ac:dyDescent="0.25">
      <c r="B106" s="207">
        <f>$B$8</f>
        <v>3</v>
      </c>
      <c r="C106" s="125">
        <f t="shared" si="14"/>
        <v>-47.978712725185382</v>
      </c>
      <c r="D106" s="125">
        <f t="shared" si="15"/>
        <v>1</v>
      </c>
    </row>
    <row r="107" spans="2:6" x14ac:dyDescent="0.25">
      <c r="B107" s="207" t="str">
        <f>$B$9</f>
        <v>1A + Battery</v>
      </c>
      <c r="C107" s="125">
        <f t="shared" si="14"/>
        <v>-404.88898400367736</v>
      </c>
      <c r="D107" s="125">
        <f t="shared" si="15"/>
        <v>5</v>
      </c>
    </row>
    <row r="108" spans="2:6" x14ac:dyDescent="0.25">
      <c r="B108" s="207" t="str">
        <f>$B$10</f>
        <v>2 + Battery</v>
      </c>
      <c r="C108" s="125">
        <f t="shared" si="14"/>
        <v>-502.60714698815434</v>
      </c>
      <c r="D108" s="125">
        <f t="shared" si="15"/>
        <v>6</v>
      </c>
    </row>
    <row r="110" spans="2:6" x14ac:dyDescent="0.25">
      <c r="B110" s="210"/>
    </row>
    <row r="116" spans="2:14" ht="15.75" x14ac:dyDescent="0.25">
      <c r="B116" s="209" t="s">
        <v>162</v>
      </c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</row>
    <row r="118" spans="2:14" ht="15.75" x14ac:dyDescent="0.25">
      <c r="B118" s="206" t="s">
        <v>53</v>
      </c>
      <c r="C118" s="121" t="s">
        <v>159</v>
      </c>
      <c r="D118" s="121" t="s">
        <v>95</v>
      </c>
      <c r="E118" s="161"/>
      <c r="F118" s="161"/>
    </row>
    <row r="119" spans="2:14" ht="15.75" x14ac:dyDescent="0.25">
      <c r="B119" s="207" t="str">
        <f>$B$5</f>
        <v>1A</v>
      </c>
      <c r="C119" s="125">
        <f>E5-H5</f>
        <v>-123.20985767607969</v>
      </c>
      <c r="D119" s="125">
        <f>RANK(C119,$C$119:$C$124)</f>
        <v>2</v>
      </c>
      <c r="E119" s="161"/>
      <c r="F119" s="161"/>
    </row>
    <row r="120" spans="2:14" ht="15.75" x14ac:dyDescent="0.25">
      <c r="B120" s="207" t="str">
        <f>$B$6</f>
        <v>1B</v>
      </c>
      <c r="C120" s="125">
        <f t="shared" ref="C120:C124" si="16">E6-H6</f>
        <v>-152.95016814961622</v>
      </c>
      <c r="D120" s="125">
        <f t="shared" ref="D120:D124" si="17">RANK(C120,$C$119:$C$124)</f>
        <v>3</v>
      </c>
      <c r="E120" s="161"/>
      <c r="F120" s="161"/>
    </row>
    <row r="121" spans="2:14" ht="15.75" x14ac:dyDescent="0.25">
      <c r="B121" s="207">
        <f>$B$7</f>
        <v>2</v>
      </c>
      <c r="C121" s="125">
        <f t="shared" si="16"/>
        <v>-186.93909440508645</v>
      </c>
      <c r="D121" s="125">
        <f t="shared" si="17"/>
        <v>4</v>
      </c>
      <c r="E121" s="161"/>
      <c r="F121" s="161"/>
    </row>
    <row r="122" spans="2:14" ht="15.75" x14ac:dyDescent="0.25">
      <c r="B122" s="207">
        <f>$B$8</f>
        <v>3</v>
      </c>
      <c r="C122" s="125">
        <f t="shared" si="16"/>
        <v>-28.787227635111233</v>
      </c>
      <c r="D122" s="125">
        <f t="shared" si="17"/>
        <v>1</v>
      </c>
      <c r="E122" s="161"/>
      <c r="F122" s="161"/>
    </row>
    <row r="123" spans="2:14" ht="15.75" x14ac:dyDescent="0.25">
      <c r="B123" s="207" t="str">
        <f>$B$9</f>
        <v>1A + Battery</v>
      </c>
      <c r="C123" s="125">
        <f t="shared" si="16"/>
        <v>-270.85801049486099</v>
      </c>
      <c r="D123" s="125">
        <f t="shared" si="17"/>
        <v>5</v>
      </c>
      <c r="E123" s="161"/>
      <c r="F123" s="161"/>
    </row>
    <row r="124" spans="2:14" ht="15.75" x14ac:dyDescent="0.25">
      <c r="B124" s="207" t="str">
        <f>$B$10</f>
        <v>2 + Battery</v>
      </c>
      <c r="C124" s="125">
        <f t="shared" si="16"/>
        <v>-334.58724722386773</v>
      </c>
      <c r="D124" s="125">
        <f t="shared" si="17"/>
        <v>6</v>
      </c>
      <c r="E124" s="161"/>
      <c r="F124" s="161"/>
    </row>
    <row r="125" spans="2:14" ht="15.75" x14ac:dyDescent="0.25">
      <c r="B125" s="165"/>
      <c r="C125" s="161"/>
      <c r="D125" s="161"/>
      <c r="E125" s="161"/>
      <c r="F125" s="161"/>
    </row>
    <row r="126" spans="2:14" ht="15.75" x14ac:dyDescent="0.25">
      <c r="B126" s="210"/>
      <c r="C126" s="161"/>
      <c r="D126" s="161"/>
      <c r="E126" s="161"/>
      <c r="F126" s="161"/>
    </row>
    <row r="127" spans="2:14" ht="15.75" x14ac:dyDescent="0.25">
      <c r="B127" s="165"/>
      <c r="C127" s="161"/>
      <c r="D127" s="161"/>
      <c r="E127" s="161"/>
      <c r="F127" s="161"/>
    </row>
    <row r="128" spans="2:14" ht="15.75" x14ac:dyDescent="0.25">
      <c r="B128" s="165"/>
      <c r="C128" s="161"/>
      <c r="D128" s="161"/>
      <c r="E128" s="161"/>
      <c r="F128" s="161"/>
    </row>
    <row r="129" spans="2:6" ht="15.75" x14ac:dyDescent="0.25">
      <c r="B129" s="165"/>
      <c r="C129" s="161"/>
      <c r="D129" s="161"/>
      <c r="E129" s="161"/>
      <c r="F129" s="161"/>
    </row>
    <row r="131" spans="2:6" x14ac:dyDescent="0.25">
      <c r="B131" s="206" t="s">
        <v>53</v>
      </c>
      <c r="C131" s="121" t="s">
        <v>160</v>
      </c>
      <c r="D131" s="121" t="s">
        <v>95</v>
      </c>
    </row>
    <row r="132" spans="2:6" x14ac:dyDescent="0.25">
      <c r="B132" s="207" t="str">
        <f>$B$5</f>
        <v>1A</v>
      </c>
      <c r="C132" s="125">
        <f>E5-I5</f>
        <v>-191.18771018702026</v>
      </c>
      <c r="D132" s="125">
        <f>RANK(C132,$C$132:$C$137)</f>
        <v>2</v>
      </c>
    </row>
    <row r="133" spans="2:6" x14ac:dyDescent="0.25">
      <c r="B133" s="207" t="str">
        <f>$B$6</f>
        <v>1B</v>
      </c>
      <c r="C133" s="125">
        <f t="shared" ref="C133:C137" si="18">E6-I6</f>
        <v>-237.92248378829188</v>
      </c>
      <c r="D133" s="125">
        <f t="shared" ref="D133:D137" si="19">RANK(C133,$C$132:$C$137)</f>
        <v>3</v>
      </c>
    </row>
    <row r="134" spans="2:6" x14ac:dyDescent="0.25">
      <c r="B134" s="207">
        <f>$B$7</f>
        <v>2</v>
      </c>
      <c r="C134" s="125">
        <f t="shared" si="18"/>
        <v>-288.90587317149721</v>
      </c>
      <c r="D134" s="125">
        <f t="shared" si="19"/>
        <v>4</v>
      </c>
    </row>
    <row r="135" spans="2:6" x14ac:dyDescent="0.25">
      <c r="B135" s="207">
        <f>$B$8</f>
        <v>3</v>
      </c>
      <c r="C135" s="125">
        <f t="shared" si="18"/>
        <v>-47.978712725185382</v>
      </c>
      <c r="D135" s="125">
        <f t="shared" si="19"/>
        <v>1</v>
      </c>
    </row>
    <row r="136" spans="2:6" x14ac:dyDescent="0.25">
      <c r="B136" s="207" t="str">
        <f>$B$9</f>
        <v>1A + Battery</v>
      </c>
      <c r="C136" s="125">
        <f t="shared" si="18"/>
        <v>-404.88898400367736</v>
      </c>
      <c r="D136" s="125">
        <f t="shared" si="19"/>
        <v>5</v>
      </c>
    </row>
    <row r="137" spans="2:6" x14ac:dyDescent="0.25">
      <c r="B137" s="207" t="str">
        <f>$B$10</f>
        <v>2 + Battery</v>
      </c>
      <c r="C137" s="125">
        <f t="shared" si="18"/>
        <v>-502.60714698815434</v>
      </c>
      <c r="D137" s="125">
        <f t="shared" si="19"/>
        <v>6</v>
      </c>
    </row>
    <row r="139" spans="2:6" x14ac:dyDescent="0.25">
      <c r="B139" s="210"/>
    </row>
  </sheetData>
  <mergeCells count="2">
    <mergeCell ref="B2:F2"/>
    <mergeCell ref="H2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'CBA Inputs'!$O$21:$P$21</xm:f>
          </x14:formula1>
          <xm:sqref>M2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AE457"/>
  <sheetViews>
    <sheetView showGridLines="0" zoomScale="85" zoomScaleNormal="85" workbookViewId="0">
      <selection activeCell="L422" sqref="L422"/>
    </sheetView>
  </sheetViews>
  <sheetFormatPr defaultRowHeight="15" x14ac:dyDescent="0.2"/>
  <cols>
    <col min="2" max="2" width="36.109375" customWidth="1"/>
    <col min="3" max="3" width="11.33203125" bestFit="1" customWidth="1"/>
    <col min="4" max="28" width="10.5546875" customWidth="1"/>
    <col min="30" max="30" width="10.5546875" bestFit="1" customWidth="1"/>
  </cols>
  <sheetData>
    <row r="2" spans="2:28" s="161" customFormat="1" x14ac:dyDescent="0.2"/>
    <row r="3" spans="2:28" s="161" customFormat="1" ht="15.75" x14ac:dyDescent="0.25">
      <c r="B3" s="209" t="s">
        <v>49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</row>
    <row r="4" spans="2:28" s="161" customFormat="1" x14ac:dyDescent="0.2"/>
    <row r="5" spans="2:28" s="161" customFormat="1" x14ac:dyDescent="0.2">
      <c r="B5" s="121"/>
      <c r="C5" s="121" t="str">
        <f t="shared" ref="C5:AB5" si="0">C60</f>
        <v>2020-21</v>
      </c>
      <c r="D5" s="121" t="str">
        <f t="shared" si="0"/>
        <v>2021-22</v>
      </c>
      <c r="E5" s="121" t="str">
        <f t="shared" si="0"/>
        <v>2022-23</v>
      </c>
      <c r="F5" s="121" t="str">
        <f t="shared" si="0"/>
        <v>2023-24</v>
      </c>
      <c r="G5" s="121" t="str">
        <f t="shared" si="0"/>
        <v>2024-25</v>
      </c>
      <c r="H5" s="121" t="str">
        <f t="shared" si="0"/>
        <v>2025-26</v>
      </c>
      <c r="I5" s="121" t="str">
        <f t="shared" si="0"/>
        <v>2026-27</v>
      </c>
      <c r="J5" s="121" t="str">
        <f t="shared" si="0"/>
        <v>2027-28</v>
      </c>
      <c r="K5" s="121" t="str">
        <f t="shared" si="0"/>
        <v>2028-29</v>
      </c>
      <c r="L5" s="121" t="str">
        <f t="shared" si="0"/>
        <v>2029-30</v>
      </c>
      <c r="M5" s="121" t="str">
        <f t="shared" si="0"/>
        <v>2030-31</v>
      </c>
      <c r="N5" s="121" t="str">
        <f t="shared" si="0"/>
        <v>2031-32</v>
      </c>
      <c r="O5" s="121" t="str">
        <f t="shared" si="0"/>
        <v>2032-33</v>
      </c>
      <c r="P5" s="121" t="str">
        <f t="shared" si="0"/>
        <v>2033-34</v>
      </c>
      <c r="Q5" s="121" t="str">
        <f t="shared" si="0"/>
        <v>2034-35</v>
      </c>
      <c r="R5" s="121" t="str">
        <f t="shared" si="0"/>
        <v>2035-36</v>
      </c>
      <c r="S5" s="121" t="str">
        <f t="shared" si="0"/>
        <v>2036-37</v>
      </c>
      <c r="T5" s="121" t="str">
        <f t="shared" si="0"/>
        <v>2037-38</v>
      </c>
      <c r="U5" s="121" t="str">
        <f t="shared" si="0"/>
        <v>2038-39</v>
      </c>
      <c r="V5" s="121" t="str">
        <f t="shared" si="0"/>
        <v>2039-40</v>
      </c>
      <c r="W5" s="121" t="str">
        <f t="shared" si="0"/>
        <v>2040-41</v>
      </c>
      <c r="X5" s="121" t="str">
        <f t="shared" si="0"/>
        <v>2041-42</v>
      </c>
      <c r="Y5" s="121" t="str">
        <f t="shared" si="0"/>
        <v>2042-43</v>
      </c>
      <c r="Z5" s="121" t="str">
        <f t="shared" si="0"/>
        <v>2043-44</v>
      </c>
      <c r="AA5" s="121" t="str">
        <f t="shared" si="0"/>
        <v>2044-45</v>
      </c>
      <c r="AB5" s="121" t="str">
        <f t="shared" si="0"/>
        <v>2045-46</v>
      </c>
    </row>
    <row r="6" spans="2:28" s="161" customFormat="1" x14ac:dyDescent="0.2">
      <c r="B6" s="214" t="s">
        <v>10</v>
      </c>
      <c r="C6" s="125">
        <v>1</v>
      </c>
      <c r="D6" s="125">
        <f>C6+1</f>
        <v>2</v>
      </c>
      <c r="E6" s="125">
        <f t="shared" ref="E6:AB6" si="1">D6+1</f>
        <v>3</v>
      </c>
      <c r="F6" s="125">
        <f t="shared" si="1"/>
        <v>4</v>
      </c>
      <c r="G6" s="125">
        <f t="shared" si="1"/>
        <v>5</v>
      </c>
      <c r="H6" s="125">
        <f t="shared" si="1"/>
        <v>6</v>
      </c>
      <c r="I6" s="125">
        <f t="shared" si="1"/>
        <v>7</v>
      </c>
      <c r="J6" s="125">
        <f t="shared" si="1"/>
        <v>8</v>
      </c>
      <c r="K6" s="125">
        <f t="shared" si="1"/>
        <v>9</v>
      </c>
      <c r="L6" s="125">
        <f t="shared" si="1"/>
        <v>10</v>
      </c>
      <c r="M6" s="125">
        <f t="shared" si="1"/>
        <v>11</v>
      </c>
      <c r="N6" s="125">
        <f t="shared" si="1"/>
        <v>12</v>
      </c>
      <c r="O6" s="125">
        <f t="shared" si="1"/>
        <v>13</v>
      </c>
      <c r="P6" s="125">
        <f t="shared" si="1"/>
        <v>14</v>
      </c>
      <c r="Q6" s="125">
        <f t="shared" si="1"/>
        <v>15</v>
      </c>
      <c r="R6" s="125">
        <f t="shared" si="1"/>
        <v>16</v>
      </c>
      <c r="S6" s="125">
        <f t="shared" si="1"/>
        <v>17</v>
      </c>
      <c r="T6" s="125">
        <f t="shared" si="1"/>
        <v>18</v>
      </c>
      <c r="U6" s="125">
        <f t="shared" si="1"/>
        <v>19</v>
      </c>
      <c r="V6" s="125">
        <f t="shared" si="1"/>
        <v>20</v>
      </c>
      <c r="W6" s="125">
        <f t="shared" si="1"/>
        <v>21</v>
      </c>
      <c r="X6" s="125">
        <f t="shared" si="1"/>
        <v>22</v>
      </c>
      <c r="Y6" s="125">
        <f t="shared" si="1"/>
        <v>23</v>
      </c>
      <c r="Z6" s="125">
        <f t="shared" si="1"/>
        <v>24</v>
      </c>
      <c r="AA6" s="125">
        <f t="shared" si="1"/>
        <v>25</v>
      </c>
      <c r="AB6" s="125">
        <f t="shared" si="1"/>
        <v>26</v>
      </c>
    </row>
    <row r="7" spans="2:28" s="161" customFormat="1" x14ac:dyDescent="0.2">
      <c r="B7" s="214" t="s">
        <v>186</v>
      </c>
      <c r="C7" s="198">
        <f>1/(1+DiscountRate_ACTIVE)^'Chart tables'!C$6</f>
        <v>1</v>
      </c>
      <c r="D7" s="198">
        <f>1/(1+DiscountRate_ACTIVE)^'Chart tables'!D$6</f>
        <v>1</v>
      </c>
      <c r="E7" s="198">
        <f>1/(1+DiscountRate_ACTIVE)^'Chart tables'!E$6</f>
        <v>1</v>
      </c>
      <c r="F7" s="198">
        <f>1/(1+DiscountRate_ACTIVE)^'Chart tables'!F$6</f>
        <v>1</v>
      </c>
      <c r="G7" s="198">
        <f>1/(1+DiscountRate_ACTIVE)^'Chart tables'!G$6</f>
        <v>1</v>
      </c>
      <c r="H7" s="198">
        <f>1/(1+DiscountRate_ACTIVE)^'Chart tables'!H$6</f>
        <v>1</v>
      </c>
      <c r="I7" s="198">
        <f>1/(1+DiscountRate_ACTIVE)^'Chart tables'!I$6</f>
        <v>1</v>
      </c>
      <c r="J7" s="198">
        <f>1/(1+DiscountRate_ACTIVE)^'Chart tables'!J$6</f>
        <v>1</v>
      </c>
      <c r="K7" s="198">
        <f>1/(1+DiscountRate_ACTIVE)^'Chart tables'!K$6</f>
        <v>1</v>
      </c>
      <c r="L7" s="198">
        <f>1/(1+DiscountRate_ACTIVE)^'Chart tables'!L$6</f>
        <v>1</v>
      </c>
      <c r="M7" s="198">
        <f>1/(1+DiscountRate_ACTIVE)^'Chart tables'!M$6</f>
        <v>1</v>
      </c>
      <c r="N7" s="198">
        <f>1/(1+DiscountRate_ACTIVE)^'Chart tables'!N$6</f>
        <v>1</v>
      </c>
      <c r="O7" s="198">
        <f>1/(1+DiscountRate_ACTIVE)^'Chart tables'!O$6</f>
        <v>1</v>
      </c>
      <c r="P7" s="198">
        <f>1/(1+DiscountRate_ACTIVE)^'Chart tables'!P$6</f>
        <v>1</v>
      </c>
      <c r="Q7" s="198">
        <f>1/(1+DiscountRate_ACTIVE)^'Chart tables'!Q$6</f>
        <v>1</v>
      </c>
      <c r="R7" s="198">
        <f>1/(1+DiscountRate_ACTIVE)^'Chart tables'!R$6</f>
        <v>1</v>
      </c>
      <c r="S7" s="198">
        <f>1/(1+DiscountRate_ACTIVE)^'Chart tables'!S$6</f>
        <v>1</v>
      </c>
      <c r="T7" s="198">
        <f>1/(1+DiscountRate_ACTIVE)^'Chart tables'!T$6</f>
        <v>1</v>
      </c>
      <c r="U7" s="198">
        <f>1/(1+DiscountRate_ACTIVE)^'Chart tables'!U$6</f>
        <v>1</v>
      </c>
      <c r="V7" s="198">
        <f>1/(1+DiscountRate_ACTIVE)^'Chart tables'!V$6</f>
        <v>1</v>
      </c>
      <c r="W7" s="198">
        <f>1/(1+DiscountRate_ACTIVE)^'Chart tables'!W$6</f>
        <v>1</v>
      </c>
      <c r="X7" s="198">
        <f>1/(1+DiscountRate_ACTIVE)^'Chart tables'!X$6</f>
        <v>1</v>
      </c>
      <c r="Y7" s="198">
        <f>1/(1+DiscountRate_ACTIVE)^'Chart tables'!Y$6</f>
        <v>1</v>
      </c>
      <c r="Z7" s="198">
        <f>1/(1+DiscountRate_ACTIVE)^'Chart tables'!Z$6</f>
        <v>1</v>
      </c>
      <c r="AA7" s="198">
        <f>1/(1+DiscountRate_ACTIVE)^'Chart tables'!AA$6</f>
        <v>1</v>
      </c>
      <c r="AB7" s="198">
        <f>1/(1+DiscountRate_ACTIVE)^'Chart tables'!AB$6</f>
        <v>1</v>
      </c>
    </row>
    <row r="8" spans="2:28" s="161" customFormat="1" x14ac:dyDescent="0.2"/>
    <row r="9" spans="2:28" s="161" customFormat="1" x14ac:dyDescent="0.2"/>
    <row r="10" spans="2:28" ht="15.75" x14ac:dyDescent="0.25">
      <c r="B10" s="209" t="s">
        <v>180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</row>
    <row r="12" spans="2:28" x14ac:dyDescent="0.2">
      <c r="B12" s="206" t="s">
        <v>53</v>
      </c>
      <c r="C12" s="121" t="s">
        <v>38</v>
      </c>
      <c r="D12" s="121" t="s">
        <v>95</v>
      </c>
      <c r="E12" s="121" t="s">
        <v>195</v>
      </c>
      <c r="P12" s="149"/>
    </row>
    <row r="13" spans="2:28" x14ac:dyDescent="0.2">
      <c r="B13" s="214" t="str">
        <f>'Option inputs'!$C$15</f>
        <v>Option 1A</v>
      </c>
      <c r="C13" s="125">
        <f>Central!F8/1000000</f>
        <v>-65.47473730557455</v>
      </c>
      <c r="D13" s="125">
        <f>RANK(C13,$C$13:$C$18)</f>
        <v>3</v>
      </c>
      <c r="E13" s="192">
        <f>C13/$C$16</f>
        <v>3.8724067903874144</v>
      </c>
      <c r="K13" s="231"/>
      <c r="P13" s="149"/>
    </row>
    <row r="14" spans="2:28" x14ac:dyDescent="0.2">
      <c r="B14" s="214" t="str">
        <f>'Option inputs'!$C$16</f>
        <v>Option 1B</v>
      </c>
      <c r="C14" s="125">
        <f>Central!F9/1000000</f>
        <v>-138.25833235598708</v>
      </c>
      <c r="D14" s="125">
        <f t="shared" ref="D14:D18" si="2">RANK(C14,$C$13:$C$18)</f>
        <v>4</v>
      </c>
      <c r="E14" s="192">
        <f t="shared" ref="E14:E18" si="3">C14/$C$16</f>
        <v>8.17708519461873</v>
      </c>
      <c r="K14" s="231"/>
    </row>
    <row r="15" spans="2:28" x14ac:dyDescent="0.2">
      <c r="B15" s="214" t="str">
        <f>'Option inputs'!$C$17</f>
        <v>Option 2</v>
      </c>
      <c r="C15" s="125">
        <f>Central!F10/1000000</f>
        <v>-201.00602518582241</v>
      </c>
      <c r="D15" s="125">
        <f t="shared" si="2"/>
        <v>6</v>
      </c>
      <c r="E15" s="192">
        <f t="shared" si="3"/>
        <v>11.888204960725989</v>
      </c>
      <c r="K15" s="231"/>
    </row>
    <row r="16" spans="2:28" x14ac:dyDescent="0.2">
      <c r="B16" s="214" t="str">
        <f>'Option inputs'!$C$18</f>
        <v>Option 3</v>
      </c>
      <c r="C16" s="125">
        <f>Central!F11/1000000</f>
        <v>-16.908021509543975</v>
      </c>
      <c r="D16" s="125">
        <f t="shared" si="2"/>
        <v>1</v>
      </c>
      <c r="E16" s="192">
        <f t="shared" si="3"/>
        <v>1</v>
      </c>
      <c r="F16" s="231"/>
    </row>
    <row r="17" spans="2:5" x14ac:dyDescent="0.2">
      <c r="B17" s="214" t="str">
        <f>'Option inputs'!$C$19</f>
        <v>Option 4</v>
      </c>
      <c r="C17" s="125">
        <f>Central!F12/1000000</f>
        <v>-165.26075073194494</v>
      </c>
      <c r="D17" s="125">
        <f t="shared" si="2"/>
        <v>5</v>
      </c>
      <c r="E17" s="192">
        <f t="shared" si="3"/>
        <v>9.7741034123159327</v>
      </c>
    </row>
    <row r="18" spans="2:5" x14ac:dyDescent="0.2">
      <c r="B18" s="214" t="str">
        <f>'Option inputs'!$C$20</f>
        <v>Option 5</v>
      </c>
      <c r="C18" s="125">
        <f>Central!F13/1000000</f>
        <v>-46.536759460817883</v>
      </c>
      <c r="D18" s="125">
        <f t="shared" si="2"/>
        <v>2</v>
      </c>
      <c r="E18" s="192">
        <f t="shared" si="3"/>
        <v>2.7523480162684644</v>
      </c>
    </row>
    <row r="27" spans="2:5" s="161" customFormat="1" x14ac:dyDescent="0.2"/>
    <row r="28" spans="2:5" s="161" customFormat="1" x14ac:dyDescent="0.2"/>
    <row r="29" spans="2:5" s="161" customFormat="1" x14ac:dyDescent="0.2"/>
    <row r="30" spans="2:5" s="161" customFormat="1" x14ac:dyDescent="0.2"/>
    <row r="31" spans="2:5" s="161" customFormat="1" x14ac:dyDescent="0.2"/>
    <row r="32" spans="2:5" s="161" customFormat="1" x14ac:dyDescent="0.2"/>
    <row r="33" spans="2:13" x14ac:dyDescent="0.2">
      <c r="D33" s="161"/>
      <c r="E33" s="161"/>
      <c r="F33" s="161"/>
    </row>
    <row r="34" spans="2:13" s="161" customFormat="1" x14ac:dyDescent="0.2"/>
    <row r="35" spans="2:13" s="161" customFormat="1" x14ac:dyDescent="0.2"/>
    <row r="36" spans="2:13" x14ac:dyDescent="0.2">
      <c r="B36" s="206" t="s">
        <v>53</v>
      </c>
      <c r="C36" s="121" t="s">
        <v>38</v>
      </c>
      <c r="D36" s="121" t="s">
        <v>192</v>
      </c>
      <c r="E36" s="121" t="s">
        <v>193</v>
      </c>
      <c r="F36" s="121" t="s">
        <v>181</v>
      </c>
      <c r="G36" s="121" t="s">
        <v>185</v>
      </c>
      <c r="H36" s="121" t="s">
        <v>182</v>
      </c>
      <c r="I36" s="121" t="s">
        <v>184</v>
      </c>
      <c r="J36" s="121" t="s">
        <v>194</v>
      </c>
      <c r="K36" s="121" t="s">
        <v>207</v>
      </c>
      <c r="L36" s="121" t="s">
        <v>208</v>
      </c>
    </row>
    <row r="37" spans="2:13" x14ac:dyDescent="0.2">
      <c r="B37" s="214" t="str">
        <f>'Option inputs'!$C$15</f>
        <v>Option 1A</v>
      </c>
      <c r="C37" s="198">
        <f>Central!F8/1000000</f>
        <v>-65.47473730557455</v>
      </c>
      <c r="D37" s="198">
        <f>Central!F58/1000000</f>
        <v>-146.82486483058929</v>
      </c>
      <c r="E37" s="198">
        <f>SUM(Central!F67,Central!F76)/1000000</f>
        <v>-20.378268720397383</v>
      </c>
      <c r="F37" s="198">
        <f>Central!F87/1000000</f>
        <v>-2.0224902005950223</v>
      </c>
      <c r="G37" s="198">
        <f>Central!F96/1000000</f>
        <v>0.70934997862462756</v>
      </c>
      <c r="H37" s="198">
        <f>Central!F105/1000000</f>
        <v>63.787062477782349</v>
      </c>
      <c r="I37" s="198">
        <f>Central!F114/1000000</f>
        <v>-0.62144569245729531</v>
      </c>
      <c r="J37" s="198">
        <f>Central!F123/1000000</f>
        <v>39.8759196820575</v>
      </c>
      <c r="K37" s="198">
        <f>Central!F132/1000000</f>
        <v>0</v>
      </c>
      <c r="L37" s="198">
        <f>Central!F141/1000000</f>
        <v>0</v>
      </c>
      <c r="M37" s="149"/>
    </row>
    <row r="38" spans="2:13" x14ac:dyDescent="0.2">
      <c r="B38" s="214" t="str">
        <f>'Option inputs'!$C$16</f>
        <v>Option 1B</v>
      </c>
      <c r="C38" s="198">
        <f>Central!F9/1000000</f>
        <v>-138.25833235598708</v>
      </c>
      <c r="D38" s="198">
        <f>Central!F59/1000000</f>
        <v>-210.72314840101808</v>
      </c>
      <c r="E38" s="198">
        <f>SUM(Central!F68,Central!F77)/1000000</f>
        <v>-29.263580200381078</v>
      </c>
      <c r="F38" s="198">
        <f>Central!F88/1000000</f>
        <v>-2.0224902005950223</v>
      </c>
      <c r="G38" s="198">
        <f>Central!F97/1000000</f>
        <v>0.70934997862462756</v>
      </c>
      <c r="H38" s="198">
        <f>Central!F106/1000000</f>
        <v>63.787062477782349</v>
      </c>
      <c r="I38" s="198">
        <f>Central!F115/1000000</f>
        <v>-0.62144569245729531</v>
      </c>
      <c r="J38" s="198">
        <f>Central!F124/1000000</f>
        <v>39.8759196820575</v>
      </c>
      <c r="K38" s="198">
        <f>Central!F133/1000000</f>
        <v>0</v>
      </c>
      <c r="L38" s="198">
        <f>Central!F142/1000000</f>
        <v>0</v>
      </c>
    </row>
    <row r="39" spans="2:13" x14ac:dyDescent="0.2">
      <c r="B39" s="214" t="str">
        <f>'Option inputs'!$C$17</f>
        <v>Option 2</v>
      </c>
      <c r="C39" s="198">
        <f>Central!F10/1000000</f>
        <v>-201.00602518582241</v>
      </c>
      <c r="D39" s="198">
        <f>Central!F60/1000000</f>
        <v>-273.20917512823519</v>
      </c>
      <c r="E39" s="198">
        <f>SUM(Central!F69,Central!F78)/1000000</f>
        <v>-37.955732735147741</v>
      </c>
      <c r="F39" s="198">
        <f>Central!F89/1000000</f>
        <v>-2.0336721564419946</v>
      </c>
      <c r="G39" s="198">
        <f>Central!F98/1000000</f>
        <v>0.68539442520001492</v>
      </c>
      <c r="H39" s="198">
        <f>Central!F107/1000000</f>
        <v>71.165869688915024</v>
      </c>
      <c r="I39" s="198">
        <f>Central!F116/1000000</f>
        <v>-0.66250427421579627</v>
      </c>
      <c r="J39" s="198">
        <f>Central!F125/1000000</f>
        <v>41.003794994103195</v>
      </c>
      <c r="K39" s="198">
        <f>Central!F134/1000000</f>
        <v>0</v>
      </c>
      <c r="L39" s="198">
        <f>Central!F143/1000000</f>
        <v>0</v>
      </c>
    </row>
    <row r="40" spans="2:13" x14ac:dyDescent="0.2">
      <c r="B40" s="214" t="str">
        <f>'Option inputs'!$C$18</f>
        <v>Option 3</v>
      </c>
      <c r="C40" s="198">
        <f>Central!F11/1000000</f>
        <v>-16.908021509543975</v>
      </c>
      <c r="D40" s="198">
        <f>Central!F61/1000000</f>
        <v>-37.359125191602097</v>
      </c>
      <c r="E40" s="198">
        <f>SUM(Central!F70,Central!F79)/1000000</f>
        <v>-5.2265185098549329</v>
      </c>
      <c r="F40" s="198">
        <f>Central!F90/1000000</f>
        <v>-0.29917152631100669</v>
      </c>
      <c r="G40" s="198">
        <f>Central!F99/1000000</f>
        <v>-2.6071241564803824E-2</v>
      </c>
      <c r="H40" s="198">
        <f>Central!F108/1000000</f>
        <v>11.657850114578256</v>
      </c>
      <c r="I40" s="198">
        <f>Central!F117/1000000</f>
        <v>-0.24811569626329882</v>
      </c>
      <c r="J40" s="198">
        <f>Central!F126/1000000</f>
        <v>14.593130541473903</v>
      </c>
      <c r="K40" s="198">
        <f>Central!F135/1000000</f>
        <v>0</v>
      </c>
      <c r="L40" s="198">
        <f>Central!F144/1000000</f>
        <v>0</v>
      </c>
    </row>
    <row r="41" spans="2:13" x14ac:dyDescent="0.2">
      <c r="B41" s="214" t="str">
        <f>'Option inputs'!$C$19</f>
        <v>Option 4</v>
      </c>
      <c r="C41" s="198">
        <f>Central!F12/1000000</f>
        <v>-165.26075073194494</v>
      </c>
      <c r="D41" s="266" t="s">
        <v>240</v>
      </c>
      <c r="E41" s="251"/>
      <c r="F41" s="251"/>
      <c r="G41" s="251"/>
      <c r="H41" s="251"/>
      <c r="I41" s="251"/>
      <c r="J41" s="251"/>
      <c r="K41" s="251"/>
      <c r="L41" s="252"/>
    </row>
    <row r="42" spans="2:13" x14ac:dyDescent="0.2">
      <c r="B42" s="214" t="str">
        <f>'Option inputs'!$C$20</f>
        <v>Option 5</v>
      </c>
      <c r="C42" s="198">
        <f>Central!F13/1000000</f>
        <v>-46.536759460817883</v>
      </c>
      <c r="D42" s="267" t="s">
        <v>240</v>
      </c>
      <c r="E42" s="253"/>
      <c r="F42" s="253"/>
      <c r="G42" s="253"/>
      <c r="H42" s="253"/>
      <c r="I42" s="253"/>
      <c r="J42" s="253"/>
      <c r="K42" s="253"/>
      <c r="L42" s="254"/>
    </row>
    <row r="51" spans="2:30" s="161" customFormat="1" x14ac:dyDescent="0.2"/>
    <row r="52" spans="2:30" s="161" customFormat="1" x14ac:dyDescent="0.2"/>
    <row r="53" spans="2:30" s="161" customFormat="1" x14ac:dyDescent="0.2"/>
    <row r="54" spans="2:30" s="161" customFormat="1" x14ac:dyDescent="0.2"/>
    <row r="55" spans="2:30" s="161" customFormat="1" x14ac:dyDescent="0.2"/>
    <row r="56" spans="2:30" s="161" customFormat="1" x14ac:dyDescent="0.2"/>
    <row r="57" spans="2:30" s="161" customFormat="1" x14ac:dyDescent="0.2"/>
    <row r="58" spans="2:30" s="161" customFormat="1" x14ac:dyDescent="0.2"/>
    <row r="59" spans="2:30" s="161" customFormat="1" x14ac:dyDescent="0.2"/>
    <row r="60" spans="2:30" x14ac:dyDescent="0.2">
      <c r="B60" s="206" t="s">
        <v>96</v>
      </c>
      <c r="C60" s="121" t="str">
        <f>Central!G38</f>
        <v>2020-21</v>
      </c>
      <c r="D60" s="121" t="str">
        <f>Central!H38</f>
        <v>2021-22</v>
      </c>
      <c r="E60" s="121" t="str">
        <f>Central!I38</f>
        <v>2022-23</v>
      </c>
      <c r="F60" s="121" t="str">
        <f>Central!J38</f>
        <v>2023-24</v>
      </c>
      <c r="G60" s="121" t="str">
        <f>Central!K38</f>
        <v>2024-25</v>
      </c>
      <c r="H60" s="121" t="str">
        <f>Central!L38</f>
        <v>2025-26</v>
      </c>
      <c r="I60" s="121" t="str">
        <f>Central!M38</f>
        <v>2026-27</v>
      </c>
      <c r="J60" s="121" t="str">
        <f>Central!N38</f>
        <v>2027-28</v>
      </c>
      <c r="K60" s="121" t="str">
        <f>Central!O38</f>
        <v>2028-29</v>
      </c>
      <c r="L60" s="121" t="str">
        <f>Central!P38</f>
        <v>2029-30</v>
      </c>
      <c r="M60" s="121" t="str">
        <f>Central!Q38</f>
        <v>2030-31</v>
      </c>
      <c r="N60" s="121" t="str">
        <f>Central!R38</f>
        <v>2031-32</v>
      </c>
      <c r="O60" s="121" t="str">
        <f>Central!S38</f>
        <v>2032-33</v>
      </c>
      <c r="P60" s="121" t="str">
        <f>Central!T38</f>
        <v>2033-34</v>
      </c>
      <c r="Q60" s="121" t="str">
        <f>Central!U38</f>
        <v>2034-35</v>
      </c>
      <c r="R60" s="121" t="str">
        <f>Central!V38</f>
        <v>2035-36</v>
      </c>
      <c r="S60" s="121" t="str">
        <f>Central!W38</f>
        <v>2036-37</v>
      </c>
      <c r="T60" s="121" t="str">
        <f>Central!X38</f>
        <v>2037-38</v>
      </c>
      <c r="U60" s="121" t="str">
        <f>Central!Y38</f>
        <v>2038-39</v>
      </c>
      <c r="V60" s="121" t="str">
        <f>Central!Z38</f>
        <v>2039-40</v>
      </c>
      <c r="W60" s="121" t="str">
        <f>Central!AA38</f>
        <v>2040-41</v>
      </c>
      <c r="X60" s="121" t="str">
        <f>Central!AB38</f>
        <v>2041-42</v>
      </c>
      <c r="Y60" s="121" t="str">
        <f>Central!AC38</f>
        <v>2042-43</v>
      </c>
      <c r="Z60" s="121" t="str">
        <f>Central!AD38</f>
        <v>2043-44</v>
      </c>
      <c r="AA60" s="121" t="str">
        <f>Central!AE38</f>
        <v>2044-45</v>
      </c>
      <c r="AB60" s="121" t="str">
        <f>Central!AF38</f>
        <v>2045-46</v>
      </c>
      <c r="AC60" s="161"/>
      <c r="AD60" s="14"/>
    </row>
    <row r="61" spans="2:30" x14ac:dyDescent="0.2">
      <c r="B61" s="214" t="s">
        <v>181</v>
      </c>
      <c r="C61" s="215">
        <f>INDEX(Central!$G$87:$AF$92,MATCH('Chart tables'!$B$60,Central!$C$87:$C$92,0),MATCH('Chart tables'!C$60,Central!$G$38:$AF$38,0))*C$7</f>
        <v>0</v>
      </c>
      <c r="D61" s="125">
        <f>INDEX(Central!$G$87:$AF$92,MATCH('Chart tables'!$B$60,Central!$C$87:$C$92,0),MATCH('Chart tables'!D$60,Central!$G$38:$AF$38,0))*D$7+C61</f>
        <v>287.10366117954254</v>
      </c>
      <c r="E61" s="125">
        <f>INDEX(Central!$G$87:$AF$92,MATCH('Chart tables'!$B$60,Central!$C$87:$C$92,0),MATCH('Chart tables'!E$60,Central!$G$38:$AF$38,0))*E$7+D61</f>
        <v>-1709623.100628607</v>
      </c>
      <c r="F61" s="125">
        <f>INDEX(Central!$G$87:$AF$92,MATCH('Chart tables'!$B$60,Central!$C$87:$C$92,0),MATCH('Chart tables'!F$60,Central!$G$38:$AF$38,0))*F$7+E61</f>
        <v>-2751110.5745691583</v>
      </c>
      <c r="G61" s="125">
        <f>INDEX(Central!$G$87:$AF$92,MATCH('Chart tables'!$B$60,Central!$C$87:$C$92,0),MATCH('Chart tables'!G$60,Central!$G$38:$AF$38,0))*G$7+F61</f>
        <v>-3897353.4402816221</v>
      </c>
      <c r="H61" s="125">
        <f>INDEX(Central!$G$87:$AF$92,MATCH('Chart tables'!$B$60,Central!$C$87:$C$92,0),MATCH('Chart tables'!H$60,Central!$G$38:$AF$38,0))*H$7+G61</f>
        <v>-3897603.4275623607</v>
      </c>
      <c r="I61" s="125">
        <f>INDEX(Central!$G$87:$AF$92,MATCH('Chart tables'!$B$60,Central!$C$87:$C$92,0),MATCH('Chart tables'!I$60,Central!$G$38:$AF$38,0))*I$7+H61</f>
        <v>-4121130.116483693</v>
      </c>
      <c r="J61" s="125">
        <f>INDEX(Central!$G$87:$AF$92,MATCH('Chart tables'!$B$60,Central!$C$87:$C$92,0),MATCH('Chart tables'!J$60,Central!$G$38:$AF$38,0))*J$7+I61</f>
        <v>-4121411.0952415075</v>
      </c>
      <c r="K61" s="125">
        <f>INDEX(Central!$G$87:$AF$92,MATCH('Chart tables'!$B$60,Central!$C$87:$C$92,0),MATCH('Chart tables'!K$60,Central!$G$38:$AF$38,0))*K$7+J61</f>
        <v>-4121707.7775481613</v>
      </c>
      <c r="L61" s="125">
        <f>INDEX(Central!$G$87:$AF$92,MATCH('Chart tables'!$B$60,Central!$C$87:$C$92,0),MATCH('Chart tables'!L$60,Central!$G$38:$AF$38,0))*L$7+K61</f>
        <v>-4122021.9268342187</v>
      </c>
      <c r="M61" s="125">
        <f>INDEX(Central!$G$87:$AF$92,MATCH('Chart tables'!$B$60,Central!$C$87:$C$92,0),MATCH('Chart tables'!M$60,Central!$G$38:$AF$38,0))*M$7+L61</f>
        <v>-2768034.8384397598</v>
      </c>
      <c r="N61" s="125">
        <f>INDEX(Central!$G$87:$AF$92,MATCH('Chart tables'!$B$60,Central!$C$87:$C$92,0),MATCH('Chart tables'!N$60,Central!$G$38:$AF$38,0))*N$7+M61</f>
        <v>-2768388.0070178881</v>
      </c>
      <c r="O61" s="125">
        <f>INDEX(Central!$G$87:$AF$92,MATCH('Chart tables'!$B$60,Central!$C$87:$C$92,0),MATCH('Chart tables'!O$60,Central!$G$38:$AF$38,0))*O$7+N61</f>
        <v>-2768761.1973242182</v>
      </c>
      <c r="P61" s="125">
        <f>INDEX(Central!$G$87:$AF$92,MATCH('Chart tables'!$B$60,Central!$C$87:$C$92,0),MATCH('Chart tables'!P$60,Central!$G$38:$AF$38,0))*P$7+O61</f>
        <v>-2769156.3437781222</v>
      </c>
      <c r="Q61" s="125">
        <f>INDEX(Central!$G$87:$AF$92,MATCH('Chart tables'!$B$60,Central!$C$87:$C$92,0),MATCH('Chart tables'!Q$60,Central!$G$38:$AF$38,0))*Q$7+P61</f>
        <v>-2769574.5914356434</v>
      </c>
      <c r="R61" s="125">
        <f>INDEX(Central!$G$87:$AF$92,MATCH('Chart tables'!$B$60,Central!$C$87:$C$92,0),MATCH('Chart tables'!R$60,Central!$G$38:$AF$38,0))*R$7+Q61</f>
        <v>-2837151.0728682564</v>
      </c>
      <c r="S61" s="125">
        <f>INDEX(Central!$G$87:$AF$92,MATCH('Chart tables'!$B$60,Central!$C$87:$C$92,0),MATCH('Chart tables'!S$60,Central!$G$38:$AF$38,0))*S$7+R61</f>
        <v>-2817251.9427019209</v>
      </c>
      <c r="T61" s="125">
        <f>INDEX(Central!$G$87:$AF$92,MATCH('Chart tables'!$B$60,Central!$C$87:$C$92,0),MATCH('Chart tables'!T$60,Central!$G$38:$AF$38,0))*T$7+S61</f>
        <v>-1967336.2539901286</v>
      </c>
      <c r="U61" s="125">
        <f>INDEX(Central!$G$87:$AF$92,MATCH('Chart tables'!$B$60,Central!$C$87:$C$92,0),MATCH('Chart tables'!U$60,Central!$G$38:$AF$38,0))*U$7+T61</f>
        <v>-1967862.1031135335</v>
      </c>
      <c r="V61" s="125">
        <f>INDEX(Central!$G$87:$AF$92,MATCH('Chart tables'!$B$60,Central!$C$87:$C$92,0),MATCH('Chart tables'!V$60,Central!$G$38:$AF$38,0))*V$7+U61</f>
        <v>-1771088.5082203955</v>
      </c>
      <c r="W61" s="125">
        <f>INDEX(Central!$G$87:$AF$92,MATCH('Chart tables'!$B$60,Central!$C$87:$C$92,0),MATCH('Chart tables'!W$60,Central!$G$38:$AF$38,0))*W$7+V61</f>
        <v>-1771677.8277828929</v>
      </c>
      <c r="X61" s="125">
        <f>INDEX(Central!$G$87:$AF$92,MATCH('Chart tables'!$B$60,Central!$C$87:$C$92,0),MATCH('Chart tables'!X$60,Central!$G$38:$AF$38,0))*X$7+W61</f>
        <v>-1772302.2013829784</v>
      </c>
      <c r="Y61" s="125">
        <f>INDEX(Central!$G$87:$AF$92,MATCH('Chart tables'!$B$60,Central!$C$87:$C$92,0),MATCH('Chart tables'!Y$60,Central!$G$38:$AF$38,0))*Y$7+X61</f>
        <v>-1740541.0297059775</v>
      </c>
      <c r="Z61" s="125">
        <f>INDEX(Central!$G$87:$AF$92,MATCH('Chart tables'!$B$60,Central!$C$87:$C$92,0),MATCH('Chart tables'!Z$60,Central!$G$38:$AF$38,0))*Z$7+Y61</f>
        <v>-1018105.9766454254</v>
      </c>
      <c r="AA61" s="125">
        <f>INDEX(Central!$G$87:$AF$92,MATCH('Chart tables'!$B$60,Central!$C$87:$C$92,0),MATCH('Chart tables'!AA$60,Central!$G$38:$AF$38,0))*AA$7+Z61</f>
        <v>-1018847.0531698038</v>
      </c>
      <c r="AB61" s="125">
        <f>INDEX(Central!$G$87:$AF$92,MATCH('Chart tables'!$B$60,Central!$C$87:$C$92,0),MATCH('Chart tables'!AB$60,Central!$G$38:$AF$38,0))*AB$7+AA61</f>
        <v>-1019631.4331903235</v>
      </c>
      <c r="AD61" s="132"/>
    </row>
    <row r="62" spans="2:30" x14ac:dyDescent="0.2">
      <c r="B62" s="214" t="s">
        <v>185</v>
      </c>
      <c r="C62" s="215">
        <f>INDEX(Central!$G$96:$AF$101,MATCH('Chart tables'!$B$60,Central!$C$96:$C$101,0),MATCH('Chart tables'!C$60,Central!$G$38:$AF$38,0))*C$7</f>
        <v>0</v>
      </c>
      <c r="D62" s="125">
        <f>INDEX(Central!$G$96:$AF$101,MATCH('Chart tables'!$B$60,Central!$C$96:$C$101,0),MATCH('Chart tables'!D$60,Central!$G$38:$AF$38,0))*D$7+C62</f>
        <v>-342.10222098561167</v>
      </c>
      <c r="E62" s="125">
        <f>INDEX(Central!$G$96:$AF$101,MATCH('Chart tables'!$B$60,Central!$C$96:$C$101,0),MATCH('Chart tables'!E$60,Central!$G$38:$AF$38,0))*E$7+D62</f>
        <v>-1788.8691308442021</v>
      </c>
      <c r="F62" s="125">
        <f>INDEX(Central!$G$96:$AF$101,MATCH('Chart tables'!$B$60,Central!$C$96:$C$101,0),MATCH('Chart tables'!F$60,Central!$G$38:$AF$38,0))*F$7+E62</f>
        <v>-1974.5896253260464</v>
      </c>
      <c r="G62" s="125">
        <f>INDEX(Central!$G$96:$AF$101,MATCH('Chart tables'!$B$60,Central!$C$96:$C$101,0),MATCH('Chart tables'!G$60,Central!$G$38:$AF$38,0))*G$7+F62</f>
        <v>-2031.4736366772527</v>
      </c>
      <c r="H62" s="125">
        <f>INDEX(Central!$G$96:$AF$101,MATCH('Chart tables'!$B$60,Central!$C$96:$C$101,0),MATCH('Chart tables'!H$60,Central!$G$38:$AF$38,0))*H$7+G62</f>
        <v>-2271.3737987438476</v>
      </c>
      <c r="I62" s="125">
        <f>INDEX(Central!$G$96:$AF$101,MATCH('Chart tables'!$B$60,Central!$C$96:$C$101,0),MATCH('Chart tables'!I$60,Central!$G$38:$AF$38,0))*I$7+H62</f>
        <v>-2779.4365250570036</v>
      </c>
      <c r="J62" s="125">
        <f>INDEX(Central!$G$96:$AF$101,MATCH('Chart tables'!$B$60,Central!$C$96:$C$101,0),MATCH('Chart tables'!J$60,Central!$G$38:$AF$38,0))*J$7+I62</f>
        <v>-2971.974526976679</v>
      </c>
      <c r="K62" s="125">
        <f>INDEX(Central!$G$96:$AF$101,MATCH('Chart tables'!$B$60,Central!$C$96:$C$101,0),MATCH('Chart tables'!K$60,Central!$G$38:$AF$38,0))*K$7+J62</f>
        <v>-3351.677245526857</v>
      </c>
      <c r="L62" s="125">
        <f>INDEX(Central!$G$96:$AF$101,MATCH('Chart tables'!$B$60,Central!$C$96:$C$101,0),MATCH('Chart tables'!L$60,Central!$G$38:$AF$38,0))*L$7+K62</f>
        <v>-4084.0521648355498</v>
      </c>
      <c r="M62" s="125">
        <f>INDEX(Central!$G$96:$AF$101,MATCH('Chart tables'!$B$60,Central!$C$96:$C$101,0),MATCH('Chart tables'!M$60,Central!$G$38:$AF$38,0))*M$7+L62</f>
        <v>-4442.6173821408684</v>
      </c>
      <c r="N62" s="125">
        <f>INDEX(Central!$G$96:$AF$101,MATCH('Chart tables'!$B$60,Central!$C$96:$C$101,0),MATCH('Chart tables'!N$60,Central!$G$38:$AF$38,0))*N$7+M62</f>
        <v>-4581.9997108026191</v>
      </c>
      <c r="O62" s="125">
        <f>INDEX(Central!$G$96:$AF$101,MATCH('Chart tables'!$B$60,Central!$C$96:$C$101,0),MATCH('Chart tables'!O$60,Central!$G$38:$AF$38,0))*O$7+N62</f>
        <v>-6223.4920641470217</v>
      </c>
      <c r="P62" s="125">
        <f>INDEX(Central!$G$96:$AF$101,MATCH('Chart tables'!$B$60,Central!$C$96:$C$101,0),MATCH('Chart tables'!P$60,Central!$G$38:$AF$38,0))*P$7+O62</f>
        <v>-6400.9946221941673</v>
      </c>
      <c r="Q62" s="125">
        <f>INDEX(Central!$G$96:$AF$101,MATCH('Chart tables'!$B$60,Central!$C$96:$C$101,0),MATCH('Chart tables'!Q$60,Central!$G$38:$AF$38,0))*Q$7+P62</f>
        <v>4212858.0839352822</v>
      </c>
      <c r="R62" s="125">
        <f>INDEX(Central!$G$96:$AF$101,MATCH('Chart tables'!$B$60,Central!$C$96:$C$101,0),MATCH('Chart tables'!R$60,Central!$G$38:$AF$38,0))*R$7+Q62</f>
        <v>-1430063.2155654812</v>
      </c>
      <c r="S62" s="125">
        <f>INDEX(Central!$G$96:$AF$101,MATCH('Chart tables'!$B$60,Central!$C$96:$C$101,0),MATCH('Chart tables'!S$60,Central!$G$38:$AF$38,0))*S$7+R62</f>
        <v>-1430389.4743755986</v>
      </c>
      <c r="T62" s="125">
        <f>INDEX(Central!$G$96:$AF$101,MATCH('Chart tables'!$B$60,Central!$C$96:$C$101,0),MATCH('Chart tables'!T$60,Central!$G$38:$AF$38,0))*T$7+S62</f>
        <v>6988017.8456925228</v>
      </c>
      <c r="U62" s="125">
        <f>INDEX(Central!$G$96:$AF$101,MATCH('Chart tables'!$B$60,Central!$C$96:$C$101,0),MATCH('Chart tables'!U$60,Central!$G$38:$AF$38,0))*U$7+T62</f>
        <v>13818418.179239161</v>
      </c>
      <c r="V62" s="125">
        <f>INDEX(Central!$G$96:$AF$101,MATCH('Chart tables'!$B$60,Central!$C$96:$C$101,0),MATCH('Chart tables'!V$60,Central!$G$38:$AF$38,0))*V$7+U62</f>
        <v>12454346.868057815</v>
      </c>
      <c r="W62" s="125">
        <f>INDEX(Central!$G$96:$AF$101,MATCH('Chart tables'!$B$60,Central!$C$96:$C$101,0),MATCH('Chart tables'!W$60,Central!$G$38:$AF$38,0))*W$7+V62</f>
        <v>12454250.333637759</v>
      </c>
      <c r="X62" s="125">
        <f>INDEX(Central!$G$96:$AF$101,MATCH('Chart tables'!$B$60,Central!$C$96:$C$101,0),MATCH('Chart tables'!X$60,Central!$G$38:$AF$38,0))*X$7+W62</f>
        <v>-519406.39448903501</v>
      </c>
      <c r="Y62" s="125">
        <f>INDEX(Central!$G$96:$AF$101,MATCH('Chart tables'!$B$60,Central!$C$96:$C$101,0),MATCH('Chart tables'!Y$60,Central!$G$38:$AF$38,0))*Y$7+X62</f>
        <v>2183283.7015680522</v>
      </c>
      <c r="Z62" s="125">
        <f>INDEX(Central!$G$96:$AF$101,MATCH('Chart tables'!$B$60,Central!$C$96:$C$101,0),MATCH('Chart tables'!Z$60,Central!$G$38:$AF$38,0))*Z$7+Y62</f>
        <v>2827823.1856906302</v>
      </c>
      <c r="AA62" s="125">
        <f>INDEX(Central!$G$96:$AF$101,MATCH('Chart tables'!$B$60,Central!$C$96:$C$101,0),MATCH('Chart tables'!AA$60,Central!$G$38:$AF$38,0))*AA$7+Z62</f>
        <v>-943344.09232760593</v>
      </c>
      <c r="AB62" s="125">
        <f>INDEX(Central!$G$96:$AF$101,MATCH('Chart tables'!$B$60,Central!$C$96:$C$101,0),MATCH('Chart tables'!AB$60,Central!$G$38:$AF$38,0))*AB$7+AA62</f>
        <v>-908836.54512789659</v>
      </c>
      <c r="AD62" s="132"/>
    </row>
    <row r="63" spans="2:30" x14ac:dyDescent="0.2">
      <c r="B63" s="214" t="s">
        <v>182</v>
      </c>
      <c r="C63" s="215">
        <f>INDEX(Central!$G$105:$AF$110,MATCH('Chart tables'!$B$60,Central!$C$105:$C$110,0),MATCH('Chart tables'!C$60,Central!$G$38:$AF$38,0))*C$7</f>
        <v>0</v>
      </c>
      <c r="D63" s="125">
        <f>INDEX(Central!$G$105:$AF$110,MATCH('Chart tables'!$B$60,Central!$C$105:$C$110,0),MATCH('Chart tables'!D$60,Central!$G$38:$AF$38,0))*D$7+C63</f>
        <v>-5346.3241324424744</v>
      </c>
      <c r="E63" s="125">
        <f>INDEX(Central!$G$105:$AF$110,MATCH('Chart tables'!$B$60,Central!$C$105:$C$110,0),MATCH('Chart tables'!E$60,Central!$G$38:$AF$38,0))*E$7+D63</f>
        <v>-527802.59118366241</v>
      </c>
      <c r="F63" s="125">
        <f>INDEX(Central!$G$105:$AF$110,MATCH('Chart tables'!$B$60,Central!$C$105:$C$110,0),MATCH('Chart tables'!F$60,Central!$G$38:$AF$38,0))*F$7+E63</f>
        <v>-1081260.5236520767</v>
      </c>
      <c r="G63" s="125">
        <f>INDEX(Central!$G$105:$AF$110,MATCH('Chart tables'!$B$60,Central!$C$105:$C$110,0),MATCH('Chart tables'!G$60,Central!$G$38:$AF$38,0))*G$7+F63</f>
        <v>6435491.6606311798</v>
      </c>
      <c r="H63" s="125">
        <f>INDEX(Central!$G$105:$AF$110,MATCH('Chart tables'!$B$60,Central!$C$105:$C$110,0),MATCH('Chart tables'!H$60,Central!$G$38:$AF$38,0))*H$7+G63</f>
        <v>24041456.543666363</v>
      </c>
      <c r="I63" s="125">
        <f>INDEX(Central!$G$105:$AF$110,MATCH('Chart tables'!$B$60,Central!$C$105:$C$110,0),MATCH('Chart tables'!I$60,Central!$G$38:$AF$38,0))*I$7+H63</f>
        <v>42677197.554641247</v>
      </c>
      <c r="J63" s="125">
        <f>INDEX(Central!$G$105:$AF$110,MATCH('Chart tables'!$B$60,Central!$C$105:$C$110,0),MATCH('Chart tables'!J$60,Central!$G$38:$AF$38,0))*J$7+I63</f>
        <v>64678697.739070415</v>
      </c>
      <c r="K63" s="125">
        <f>INDEX(Central!$G$105:$AF$110,MATCH('Chart tables'!$B$60,Central!$C$105:$C$110,0),MATCH('Chart tables'!K$60,Central!$G$38:$AF$38,0))*K$7+J63</f>
        <v>73640778.580449581</v>
      </c>
      <c r="L63" s="125">
        <f>INDEX(Central!$G$105:$AF$110,MATCH('Chart tables'!$B$60,Central!$C$105:$C$110,0),MATCH('Chart tables'!L$60,Central!$G$38:$AF$38,0))*L$7+K63</f>
        <v>81775851.899682522</v>
      </c>
      <c r="M63" s="125">
        <f>INDEX(Central!$G$105:$AF$110,MATCH('Chart tables'!$B$60,Central!$C$105:$C$110,0),MATCH('Chart tables'!M$60,Central!$G$38:$AF$38,0))*M$7+L63</f>
        <v>88292359.48187542</v>
      </c>
      <c r="N63" s="125">
        <f>INDEX(Central!$G$105:$AF$110,MATCH('Chart tables'!$B$60,Central!$C$105:$C$110,0),MATCH('Chart tables'!N$60,Central!$G$38:$AF$38,0))*N$7+M63</f>
        <v>95963507.39525795</v>
      </c>
      <c r="O63" s="125">
        <f>INDEX(Central!$G$105:$AF$110,MATCH('Chart tables'!$B$60,Central!$C$105:$C$110,0),MATCH('Chart tables'!O$60,Central!$G$38:$AF$38,0))*O$7+N63</f>
        <v>105561192.68849277</v>
      </c>
      <c r="P63" s="125">
        <f>INDEX(Central!$G$105:$AF$110,MATCH('Chart tables'!$B$60,Central!$C$105:$C$110,0),MATCH('Chart tables'!P$60,Central!$G$38:$AF$38,0))*P$7+O63</f>
        <v>114241948.77755165</v>
      </c>
      <c r="Q63" s="125">
        <f>INDEX(Central!$G$105:$AF$110,MATCH('Chart tables'!$B$60,Central!$C$105:$C$110,0),MATCH('Chart tables'!Q$60,Central!$G$38:$AF$38,0))*Q$7+P63</f>
        <v>115893703.40709686</v>
      </c>
      <c r="R63" s="125">
        <f>INDEX(Central!$G$105:$AF$110,MATCH('Chart tables'!$B$60,Central!$C$105:$C$110,0),MATCH('Chart tables'!R$60,Central!$G$38:$AF$38,0))*R$7+Q63</f>
        <v>114771487.28499031</v>
      </c>
      <c r="S63" s="125">
        <f>INDEX(Central!$G$105:$AF$110,MATCH('Chart tables'!$B$60,Central!$C$105:$C$110,0),MATCH('Chart tables'!S$60,Central!$G$38:$AF$38,0))*S$7+R63</f>
        <v>114544826.06268406</v>
      </c>
      <c r="T63" s="125">
        <f>INDEX(Central!$G$105:$AF$110,MATCH('Chart tables'!$B$60,Central!$C$105:$C$110,0),MATCH('Chart tables'!T$60,Central!$G$38:$AF$38,0))*T$7+S63</f>
        <v>114131586.0504148</v>
      </c>
      <c r="U63" s="125">
        <f>INDEX(Central!$G$105:$AF$110,MATCH('Chart tables'!$B$60,Central!$C$105:$C$110,0),MATCH('Chart tables'!U$60,Central!$G$38:$AF$38,0))*U$7+T63</f>
        <v>109974755.3643539</v>
      </c>
      <c r="V63" s="125">
        <f>INDEX(Central!$G$105:$AF$110,MATCH('Chart tables'!$B$60,Central!$C$105:$C$110,0),MATCH('Chart tables'!V$60,Central!$G$38:$AF$38,0))*V$7+U63</f>
        <v>107390815.99775124</v>
      </c>
      <c r="W63" s="125">
        <f>INDEX(Central!$G$105:$AF$110,MATCH('Chart tables'!$B$60,Central!$C$105:$C$110,0),MATCH('Chart tables'!W$60,Central!$G$38:$AF$38,0))*W$7+V63</f>
        <v>106589455.36063099</v>
      </c>
      <c r="X63" s="125">
        <f>INDEX(Central!$G$105:$AF$110,MATCH('Chart tables'!$B$60,Central!$C$105:$C$110,0),MATCH('Chart tables'!X$60,Central!$G$38:$AF$38,0))*X$7+W63</f>
        <v>111244328.20891714</v>
      </c>
      <c r="Y63" s="125">
        <f>INDEX(Central!$G$105:$AF$110,MATCH('Chart tables'!$B$60,Central!$C$105:$C$110,0),MATCH('Chart tables'!Y$60,Central!$G$38:$AF$38,0))*Y$7+X63</f>
        <v>106581499.12453246</v>
      </c>
      <c r="Z63" s="125">
        <f>INDEX(Central!$G$105:$AF$110,MATCH('Chart tables'!$B$60,Central!$C$105:$C$110,0),MATCH('Chart tables'!Z$60,Central!$G$38:$AF$38,0))*Z$7+Y63</f>
        <v>100570659.32083321</v>
      </c>
      <c r="AA63" s="125">
        <f>INDEX(Central!$G$105:$AF$110,MATCH('Chart tables'!$B$60,Central!$C$105:$C$110,0),MATCH('Chart tables'!AA$60,Central!$G$38:$AF$38,0))*AA$7+Z63</f>
        <v>97992019.859067917</v>
      </c>
      <c r="AB63" s="125">
        <f>INDEX(Central!$G$105:$AF$110,MATCH('Chart tables'!$B$60,Central!$C$105:$C$110,0),MATCH('Chart tables'!AB$60,Central!$G$38:$AF$38,0))*AB$7+AA63</f>
        <v>93378118.848692656</v>
      </c>
      <c r="AD63" s="132"/>
    </row>
    <row r="64" spans="2:30" x14ac:dyDescent="0.2">
      <c r="B64" s="214" t="s">
        <v>184</v>
      </c>
      <c r="C64" s="215">
        <f>INDEX(Central!$G$114:$AF$119,MATCH('Chart tables'!$B$60,Central!$C$114:$C$119,0),MATCH('Chart tables'!C$60,Central!$G$38:$AF$38,0))*C$7</f>
        <v>0</v>
      </c>
      <c r="D64" s="125">
        <f>INDEX(Central!$G$114:$AF$119,MATCH('Chart tables'!$B$60,Central!$C$114:$C$119,0),MATCH('Chart tables'!D$60,Central!$G$38:$AF$38,0))*D$7+C64</f>
        <v>-752.87126299343072</v>
      </c>
      <c r="E64" s="198">
        <f>INDEX(Central!$G$114:$AF$119,MATCH('Chart tables'!$B$60,Central!$C$114:$C$119,0),MATCH('Chart tables'!E$60,Central!$G$38:$AF$38,0))*E$7+D64</f>
        <v>-94693.734943931224</v>
      </c>
      <c r="F64" s="198">
        <f>INDEX(Central!$G$114:$AF$119,MATCH('Chart tables'!$B$60,Central!$C$114:$C$119,0),MATCH('Chart tables'!F$60,Central!$G$38:$AF$38,0))*F$7+E64</f>
        <v>-97588.310262578772</v>
      </c>
      <c r="G64" s="198">
        <f>INDEX(Central!$G$114:$AF$119,MATCH('Chart tables'!$B$60,Central!$C$114:$C$119,0),MATCH('Chart tables'!G$60,Central!$G$38:$AF$38,0))*G$7+F64</f>
        <v>-104977.33470720914</v>
      </c>
      <c r="H64" s="198">
        <f>INDEX(Central!$G$114:$AF$119,MATCH('Chart tables'!$B$60,Central!$C$114:$C$119,0),MATCH('Chart tables'!H$60,Central!$G$38:$AF$38,0))*H$7+G64</f>
        <v>-105918.28147944971</v>
      </c>
      <c r="I64" s="198">
        <f>INDEX(Central!$G$114:$AF$119,MATCH('Chart tables'!$B$60,Central!$C$114:$C$119,0),MATCH('Chart tables'!I$60,Central!$G$38:$AF$38,0))*I$7+H64</f>
        <v>-108951.35890947946</v>
      </c>
      <c r="J64" s="198">
        <f>INDEX(Central!$G$114:$AF$119,MATCH('Chart tables'!$B$60,Central!$C$114:$C$119,0),MATCH('Chart tables'!J$60,Central!$G$38:$AF$38,0))*J$7+I64</f>
        <v>-110011.92014784517</v>
      </c>
      <c r="K64" s="198">
        <f>INDEX(Central!$G$114:$AF$119,MATCH('Chart tables'!$B$60,Central!$C$114:$C$119,0),MATCH('Chart tables'!K$60,Central!$G$38:$AF$38,0))*K$7+J64</f>
        <v>-111130.42206729201</v>
      </c>
      <c r="L64" s="198">
        <f>INDEX(Central!$G$114:$AF$119,MATCH('Chart tables'!$B$60,Central!$C$114:$C$119,0),MATCH('Chart tables'!L$60,Central!$G$38:$AF$38,0))*L$7+K64</f>
        <v>-112321.38460054433</v>
      </c>
      <c r="M64" s="198">
        <f>INDEX(Central!$G$114:$AF$119,MATCH('Chart tables'!$B$60,Central!$C$114:$C$119,0),MATCH('Chart tables'!M$60,Central!$G$38:$AF$38,0))*M$7+L64</f>
        <v>-113601.67379394708</v>
      </c>
      <c r="N64" s="198">
        <f>INDEX(Central!$G$114:$AF$119,MATCH('Chart tables'!$B$60,Central!$C$114:$C$119,0),MATCH('Chart tables'!N$60,Central!$G$38:$AF$38,0))*N$7+M64</f>
        <v>-89668.796070175405</v>
      </c>
      <c r="O64" s="198">
        <f>INDEX(Central!$G$114:$AF$119,MATCH('Chart tables'!$B$60,Central!$C$114:$C$119,0),MATCH('Chart tables'!O$60,Central!$G$38:$AF$38,0))*O$7+N64</f>
        <v>-92533.62321448249</v>
      </c>
      <c r="P64" s="198">
        <f>INDEX(Central!$G$114:$AF$119,MATCH('Chart tables'!$B$60,Central!$C$114:$C$119,0),MATCH('Chart tables'!P$60,Central!$G$38:$AF$38,0))*P$7+O64</f>
        <v>40800.289675405787</v>
      </c>
      <c r="Q64" s="198">
        <f>INDEX(Central!$G$114:$AF$119,MATCH('Chart tables'!$B$60,Central!$C$114:$C$119,0),MATCH('Chart tables'!Q$60,Central!$G$38:$AF$38,0))*Q$7+P64</f>
        <v>-39109.49078133695</v>
      </c>
      <c r="R64" s="198">
        <f>INDEX(Central!$G$114:$AF$119,MATCH('Chart tables'!$B$60,Central!$C$114:$C$119,0),MATCH('Chart tables'!R$60,Central!$G$38:$AF$38,0))*R$7+Q64</f>
        <v>-28182.862881201247</v>
      </c>
      <c r="S64" s="198">
        <f>INDEX(Central!$G$114:$AF$119,MATCH('Chart tables'!$B$60,Central!$C$114:$C$119,0),MATCH('Chart tables'!S$60,Central!$G$38:$AF$38,0))*S$7+R64</f>
        <v>-271289.0264332564</v>
      </c>
      <c r="T64" s="198">
        <f>INDEX(Central!$G$114:$AF$119,MATCH('Chart tables'!$B$60,Central!$C$114:$C$119,0),MATCH('Chart tables'!T$60,Central!$G$38:$AF$38,0))*T$7+S64</f>
        <v>68874.499239723256</v>
      </c>
      <c r="U64" s="198">
        <f>INDEX(Central!$G$114:$AF$119,MATCH('Chart tables'!$B$60,Central!$C$114:$C$119,0),MATCH('Chart tables'!U$60,Central!$G$38:$AF$38,0))*U$7+T64</f>
        <v>66710.789545312902</v>
      </c>
      <c r="V64" s="198">
        <f>INDEX(Central!$G$114:$AF$119,MATCH('Chart tables'!$B$60,Central!$C$114:$C$119,0),MATCH('Chart tables'!V$60,Central!$G$38:$AF$38,0))*V$7+U64</f>
        <v>65668.972571917257</v>
      </c>
      <c r="W64" s="198">
        <f>INDEX(Central!$G$114:$AF$119,MATCH('Chart tables'!$B$60,Central!$C$114:$C$119,0),MATCH('Chart tables'!W$60,Central!$G$38:$AF$38,0))*W$7+V64</f>
        <v>63300.655280554296</v>
      </c>
      <c r="X64" s="198">
        <f>INDEX(Central!$G$114:$AF$119,MATCH('Chart tables'!$B$60,Central!$C$114:$C$119,0),MATCH('Chart tables'!X$60,Central!$G$38:$AF$38,0))*X$7+W64</f>
        <v>-289697.88335842488</v>
      </c>
      <c r="Y64" s="198">
        <f>INDEX(Central!$G$114:$AF$119,MATCH('Chart tables'!$B$60,Central!$C$114:$C$119,0),MATCH('Chart tables'!Y$60,Central!$G$38:$AF$38,0))*Y$7+X64</f>
        <v>-295951.8273660097</v>
      </c>
      <c r="Z64" s="198">
        <f>INDEX(Central!$G$114:$AF$119,MATCH('Chart tables'!$B$60,Central!$C$114:$C$119,0),MATCH('Chart tables'!Z$60,Central!$G$38:$AF$38,0))*Z$7+Y64</f>
        <v>-316906.23313913157</v>
      </c>
      <c r="AA64" s="198">
        <f>INDEX(Central!$G$114:$AF$119,MATCH('Chart tables'!$B$60,Central!$C$114:$C$119,0),MATCH('Chart tables'!AA$60,Central!$G$38:$AF$38,0))*AA$7+Z64</f>
        <v>-2248688.7941961256</v>
      </c>
      <c r="AB64" s="198">
        <f>INDEX(Central!$G$114:$AF$119,MATCH('Chart tables'!$B$60,Central!$C$114:$C$119,0),MATCH('Chart tables'!AB$60,Central!$G$38:$AF$38,0))*AB$7+AA64</f>
        <v>-2378702.4175415807</v>
      </c>
      <c r="AD64" s="132"/>
    </row>
    <row r="65" spans="2:31" x14ac:dyDescent="0.2">
      <c r="B65" s="214" t="s">
        <v>183</v>
      </c>
      <c r="C65" s="215">
        <f>INDEX(Central!$G$123:$AF$128,MATCH('Chart tables'!$B$60,Central!$C$123:$C$128,0),MATCH('Chart tables'!C$60,Central!$G$38:$AF$38,0))*C$7</f>
        <v>0</v>
      </c>
      <c r="D65" s="125">
        <f>INDEX(Central!$G$123:$AF$128,MATCH('Chart tables'!$B$60,Central!$C$123:$C$128,0),MATCH('Chart tables'!D$60,Central!$G$38:$AF$38,0))*D$7+C65</f>
        <v>-20455.279480934143</v>
      </c>
      <c r="E65" s="125">
        <f>INDEX(Central!$G$123:$AF$128,MATCH('Chart tables'!$B$60,Central!$C$123:$C$128,0),MATCH('Chart tables'!E$60,Central!$G$38:$AF$38,0))*E$7+D65</f>
        <v>12891756.81038332</v>
      </c>
      <c r="F65" s="125">
        <f>INDEX(Central!$G$123:$AF$128,MATCH('Chart tables'!$B$60,Central!$C$123:$C$128,0),MATCH('Chart tables'!F$60,Central!$G$38:$AF$38,0))*F$7+E65</f>
        <v>12808668.620996475</v>
      </c>
      <c r="G65" s="125">
        <f>INDEX(Central!$G$123:$AF$128,MATCH('Chart tables'!$B$60,Central!$C$123:$C$128,0),MATCH('Chart tables'!G$60,Central!$G$38:$AF$38,0))*G$7+F65</f>
        <v>13428834.706938148</v>
      </c>
      <c r="H65" s="125">
        <f>INDEX(Central!$G$123:$AF$128,MATCH('Chart tables'!$B$60,Central!$C$123:$C$128,0),MATCH('Chart tables'!H$60,Central!$G$38:$AF$38,0))*H$7+G65</f>
        <v>12570039.29810369</v>
      </c>
      <c r="I65" s="125">
        <f>INDEX(Central!$G$123:$AF$128,MATCH('Chart tables'!$B$60,Central!$C$123:$C$128,0),MATCH('Chart tables'!I$60,Central!$G$38:$AF$38,0))*I$7+H65</f>
        <v>9478688.8465793133</v>
      </c>
      <c r="J65" s="125">
        <f>INDEX(Central!$G$123:$AF$128,MATCH('Chart tables'!$B$60,Central!$C$123:$C$128,0),MATCH('Chart tables'!J$60,Central!$G$38:$AF$38,0))*J$7+I65</f>
        <v>-23537055.447014809</v>
      </c>
      <c r="K65" s="125">
        <f>INDEX(Central!$G$123:$AF$128,MATCH('Chart tables'!$B$60,Central!$C$123:$C$128,0),MATCH('Chart tables'!K$60,Central!$G$38:$AF$38,0))*K$7+J65</f>
        <v>-29250793.235813141</v>
      </c>
      <c r="L65" s="125">
        <f>INDEX(Central!$G$123:$AF$128,MATCH('Chart tables'!$B$60,Central!$C$123:$C$128,0),MATCH('Chart tables'!L$60,Central!$G$38:$AF$38,0))*L$7+K65</f>
        <v>-20961269.634269953</v>
      </c>
      <c r="M65" s="125">
        <f>INDEX(Central!$G$123:$AF$128,MATCH('Chart tables'!$B$60,Central!$C$123:$C$128,0),MATCH('Chart tables'!M$60,Central!$G$38:$AF$38,0))*M$7+L65</f>
        <v>-28557141.037760973</v>
      </c>
      <c r="N65" s="125">
        <f>INDEX(Central!$G$123:$AF$128,MATCH('Chart tables'!$B$60,Central!$C$123:$C$128,0),MATCH('Chart tables'!N$60,Central!$G$38:$AF$38,0))*N$7+M65</f>
        <v>-26383656.698949695</v>
      </c>
      <c r="O65" s="125">
        <f>INDEX(Central!$G$123:$AF$128,MATCH('Chart tables'!$B$60,Central!$C$123:$C$128,0),MATCH('Chart tables'!O$60,Central!$G$38:$AF$38,0))*O$7+N65</f>
        <v>40001138.35149014</v>
      </c>
      <c r="P65" s="125">
        <f>INDEX(Central!$G$123:$AF$128,MATCH('Chart tables'!$B$60,Central!$C$123:$C$128,0),MATCH('Chart tables'!P$60,Central!$G$38:$AF$38,0))*P$7+O65</f>
        <v>47050106.462836385</v>
      </c>
      <c r="Q65" s="125">
        <f>INDEX(Central!$G$123:$AF$128,MATCH('Chart tables'!$B$60,Central!$C$123:$C$128,0),MATCH('Chart tables'!Q$60,Central!$G$38:$AF$38,0))*Q$7+P65</f>
        <v>96143255.071787238</v>
      </c>
      <c r="R65" s="125">
        <f>INDEX(Central!$G$123:$AF$128,MATCH('Chart tables'!$B$60,Central!$C$123:$C$128,0),MATCH('Chart tables'!R$60,Central!$G$38:$AF$38,0))*R$7+Q65</f>
        <v>126137515.23646963</v>
      </c>
      <c r="S65" s="125">
        <f>INDEX(Central!$G$123:$AF$128,MATCH('Chart tables'!$B$60,Central!$C$123:$C$128,0),MATCH('Chart tables'!S$60,Central!$G$38:$AF$38,0))*S$7+R65</f>
        <v>128640941.69731557</v>
      </c>
      <c r="T65" s="125">
        <f>INDEX(Central!$G$123:$AF$128,MATCH('Chart tables'!$B$60,Central!$C$123:$C$128,0),MATCH('Chart tables'!T$60,Central!$G$38:$AF$38,0))*T$7+S65</f>
        <v>96251960.981714606</v>
      </c>
      <c r="U65" s="125">
        <f>INDEX(Central!$G$123:$AF$128,MATCH('Chart tables'!$B$60,Central!$C$123:$C$128,0),MATCH('Chart tables'!U$60,Central!$G$38:$AF$38,0))*U$7+T65</f>
        <v>82778841.488117099</v>
      </c>
      <c r="V65" s="125">
        <f>INDEX(Central!$G$123:$AF$128,MATCH('Chart tables'!$B$60,Central!$C$123:$C$128,0),MATCH('Chart tables'!V$60,Central!$G$38:$AF$38,0))*V$7+U65</f>
        <v>72217912.912088752</v>
      </c>
      <c r="W65" s="125">
        <f>INDEX(Central!$G$123:$AF$128,MATCH('Chart tables'!$B$60,Central!$C$123:$C$128,0),MATCH('Chart tables'!W$60,Central!$G$38:$AF$38,0))*W$7+V65</f>
        <v>72968008.073505044</v>
      </c>
      <c r="X65" s="125">
        <f>INDEX(Central!$G$123:$AF$128,MATCH('Chart tables'!$B$60,Central!$C$123:$C$128,0),MATCH('Chart tables'!X$60,Central!$G$38:$AF$38,0))*X$7+W65</f>
        <v>65137462.735492826</v>
      </c>
      <c r="Y65" s="125">
        <f>INDEX(Central!$G$123:$AF$128,MATCH('Chart tables'!$B$60,Central!$C$123:$C$128,0),MATCH('Chart tables'!Y$60,Central!$G$38:$AF$38,0))*Y$7+X65</f>
        <v>94136048.69273293</v>
      </c>
      <c r="Z65" s="125">
        <f>INDEX(Central!$G$123:$AF$128,MATCH('Chart tables'!$B$60,Central!$C$123:$C$128,0),MATCH('Chart tables'!Z$60,Central!$G$38:$AF$38,0))*Z$7+Y65</f>
        <v>89220935.376860738</v>
      </c>
      <c r="AA65" s="125">
        <f>INDEX(Central!$G$123:$AF$128,MATCH('Chart tables'!$B$60,Central!$C$123:$C$128,0),MATCH('Chart tables'!AA$60,Central!$G$38:$AF$38,0))*AA$7+Z65</f>
        <v>89404020.636615634</v>
      </c>
      <c r="AB65" s="125">
        <f>INDEX(Central!$G$123:$AF$128,MATCH('Chart tables'!$B$60,Central!$C$123:$C$128,0),MATCH('Chart tables'!AB$60,Central!$G$38:$AF$38,0))*AB$7+AA65</f>
        <v>90956752.623798966</v>
      </c>
      <c r="AD65" s="132"/>
    </row>
    <row r="66" spans="2:31" x14ac:dyDescent="0.2">
      <c r="B66" s="161"/>
      <c r="C66" s="161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61"/>
      <c r="AD66" s="126"/>
      <c r="AE66" s="126"/>
    </row>
    <row r="83" spans="2:28" ht="15.75" x14ac:dyDescent="0.25">
      <c r="B83" s="209" t="s">
        <v>151</v>
      </c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  <c r="AA83" s="195"/>
      <c r="AB83" s="195"/>
    </row>
    <row r="85" spans="2:28" x14ac:dyDescent="0.2">
      <c r="B85" s="206" t="s">
        <v>53</v>
      </c>
      <c r="C85" s="121" t="s">
        <v>38</v>
      </c>
      <c r="D85" s="121" t="s">
        <v>95</v>
      </c>
      <c r="E85" s="121" t="s">
        <v>195</v>
      </c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</row>
    <row r="86" spans="2:28" x14ac:dyDescent="0.2">
      <c r="B86" s="214" t="str">
        <f>'Option inputs'!$C$15</f>
        <v>Option 1A</v>
      </c>
      <c r="C86" s="125">
        <f>Step!F8/1000000</f>
        <v>158.52364086615265</v>
      </c>
      <c r="D86" s="125">
        <f>RANK(C86,$C$86:$C$91)</f>
        <v>1</v>
      </c>
      <c r="E86" s="192">
        <f>1-C86/$C$86</f>
        <v>0</v>
      </c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</row>
    <row r="87" spans="2:28" x14ac:dyDescent="0.2">
      <c r="B87" s="214" t="str">
        <f>'Option inputs'!$C$16</f>
        <v>Option 1B</v>
      </c>
      <c r="C87" s="125">
        <f>Step!F9/1000000</f>
        <v>85.740045815740103</v>
      </c>
      <c r="D87" s="125">
        <f t="shared" ref="D87:D91" si="4">RANK(C87,$C$86:$C$91)</f>
        <v>3</v>
      </c>
      <c r="E87" s="192">
        <f t="shared" ref="E87:E91" si="5">1-C87/$C$86</f>
        <v>0.45913401088148365</v>
      </c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</row>
    <row r="88" spans="2:28" x14ac:dyDescent="0.2">
      <c r="B88" s="214" t="str">
        <f>'Option inputs'!$C$17</f>
        <v>Option 2</v>
      </c>
      <c r="C88" s="125">
        <f>Step!F10/1000000</f>
        <v>37.554318315618268</v>
      </c>
      <c r="D88" s="125">
        <f t="shared" si="4"/>
        <v>4</v>
      </c>
      <c r="E88" s="192">
        <f t="shared" si="5"/>
        <v>0.76309957233869763</v>
      </c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</row>
    <row r="89" spans="2:28" x14ac:dyDescent="0.2">
      <c r="B89" s="214" t="str">
        <f>'Option inputs'!$C$18</f>
        <v>Option 3</v>
      </c>
      <c r="C89" s="125">
        <f>Step!F11/1000000</f>
        <v>8.5734748436076593</v>
      </c>
      <c r="D89" s="125">
        <f t="shared" si="4"/>
        <v>6</v>
      </c>
      <c r="E89" s="192">
        <f t="shared" si="5"/>
        <v>0.94591674278509308</v>
      </c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</row>
    <row r="90" spans="2:28" x14ac:dyDescent="0.2">
      <c r="B90" s="214" t="str">
        <f>'Option inputs'!$C$19</f>
        <v>Option 4</v>
      </c>
      <c r="C90" s="125">
        <f>Step!F12/1000000</f>
        <v>135.58379709853281</v>
      </c>
      <c r="D90" s="125">
        <f t="shared" si="4"/>
        <v>2</v>
      </c>
      <c r="E90" s="192">
        <f t="shared" si="5"/>
        <v>0.14470929157493162</v>
      </c>
      <c r="F90" s="161"/>
      <c r="G90" s="126"/>
      <c r="H90" s="132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</row>
    <row r="91" spans="2:28" x14ac:dyDescent="0.2">
      <c r="B91" s="214" t="str">
        <f>'Option inputs'!$C$20</f>
        <v>Option 5</v>
      </c>
      <c r="C91" s="125">
        <f>Step!F13/1000000</f>
        <v>10.26158091753625</v>
      </c>
      <c r="D91" s="125">
        <f t="shared" si="4"/>
        <v>5</v>
      </c>
      <c r="E91" s="192">
        <f t="shared" si="5"/>
        <v>0.93526781960426664</v>
      </c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</row>
    <row r="92" spans="2:28" x14ac:dyDescent="0.2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</row>
    <row r="93" spans="2:28" x14ac:dyDescent="0.2"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</row>
    <row r="94" spans="2:28" x14ac:dyDescent="0.2"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</row>
    <row r="95" spans="2:28" x14ac:dyDescent="0.2"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</row>
    <row r="96" spans="2:28" x14ac:dyDescent="0.2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</row>
    <row r="97" spans="2:28" x14ac:dyDescent="0.2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</row>
    <row r="98" spans="2:28" x14ac:dyDescent="0.2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</row>
    <row r="99" spans="2:28" x14ac:dyDescent="0.2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</row>
    <row r="100" spans="2:28" x14ac:dyDescent="0.2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</row>
    <row r="101" spans="2:28" x14ac:dyDescent="0.2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</row>
    <row r="102" spans="2:28" x14ac:dyDescent="0.2"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</row>
    <row r="103" spans="2:28" x14ac:dyDescent="0.2"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</row>
    <row r="104" spans="2:28" x14ac:dyDescent="0.2"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</row>
    <row r="105" spans="2:28" x14ac:dyDescent="0.2"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</row>
    <row r="106" spans="2:28" x14ac:dyDescent="0.2"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</row>
    <row r="107" spans="2:28" x14ac:dyDescent="0.2"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</row>
    <row r="108" spans="2:28" x14ac:dyDescent="0.2"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</row>
    <row r="109" spans="2:28" x14ac:dyDescent="0.2">
      <c r="B109" s="206" t="s">
        <v>53</v>
      </c>
      <c r="C109" s="121" t="s">
        <v>38</v>
      </c>
      <c r="D109" s="121" t="str">
        <f>D36</f>
        <v>Transmission capex</v>
      </c>
      <c r="E109" s="121" t="str">
        <f t="shared" ref="E109:J109" si="6">E36</f>
        <v>Transmission opex</v>
      </c>
      <c r="F109" s="121" t="str">
        <f t="shared" si="6"/>
        <v>Avoided unserved energy</v>
      </c>
      <c r="G109" s="121" t="str">
        <f t="shared" si="6"/>
        <v>Avoided transmission capex</v>
      </c>
      <c r="H109" s="121" t="str">
        <f t="shared" si="6"/>
        <v>Avoided fuel costs</v>
      </c>
      <c r="I109" s="121" t="str">
        <f t="shared" si="6"/>
        <v>Avoided voluntary load curtailment</v>
      </c>
      <c r="J109" s="121" t="str">
        <f t="shared" si="6"/>
        <v>Avoided generation/storage costs</v>
      </c>
      <c r="K109" s="121" t="s">
        <v>207</v>
      </c>
      <c r="L109" s="121" t="s">
        <v>208</v>
      </c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</row>
    <row r="110" spans="2:28" x14ac:dyDescent="0.2">
      <c r="B110" s="214" t="str">
        <f>'Option inputs'!$C$15</f>
        <v>Option 1A</v>
      </c>
      <c r="C110" s="198">
        <f>Step!F8/1000000</f>
        <v>158.52364086615265</v>
      </c>
      <c r="D110" s="198">
        <f>Step!F58/1000000</f>
        <v>-146.82486483058929</v>
      </c>
      <c r="E110" s="198">
        <f>Step!F67/1000000</f>
        <v>-20.378268720397383</v>
      </c>
      <c r="F110" s="198">
        <f>Step!F87/1000000</f>
        <v>-10.451881848056018</v>
      </c>
      <c r="G110" s="198">
        <f>Step!F96/1000000</f>
        <v>78.844245309798609</v>
      </c>
      <c r="H110" s="198">
        <f>Step!F105/1000000</f>
        <v>72.91030201621318</v>
      </c>
      <c r="I110" s="198">
        <f>Step!F114/1000000</f>
        <v>3.8106142178820113</v>
      </c>
      <c r="J110" s="198">
        <f>Step!F123/1000000</f>
        <v>180.61349472130152</v>
      </c>
      <c r="K110" s="198">
        <f>Step!F132/1000000</f>
        <v>0</v>
      </c>
      <c r="L110" s="198">
        <f>Step!F141/1000000</f>
        <v>0</v>
      </c>
      <c r="M110" s="149"/>
      <c r="N110" s="149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</row>
    <row r="111" spans="2:28" x14ac:dyDescent="0.2">
      <c r="B111" s="214" t="str">
        <f>'Option inputs'!$C$16</f>
        <v>Option 1B</v>
      </c>
      <c r="C111" s="198">
        <f>Step!F9/1000000</f>
        <v>85.740045815740103</v>
      </c>
      <c r="D111" s="198">
        <f>Step!F59/1000000</f>
        <v>-210.72314840101808</v>
      </c>
      <c r="E111" s="198">
        <f>Step!F68/1000000</f>
        <v>-29.263580200381078</v>
      </c>
      <c r="F111" s="198">
        <f>Step!F88/1000000</f>
        <v>-10.451881848056018</v>
      </c>
      <c r="G111" s="198">
        <f>Step!F97/1000000</f>
        <v>78.844245309798609</v>
      </c>
      <c r="H111" s="198">
        <f>Step!F106/1000000</f>
        <v>72.91030201621318</v>
      </c>
      <c r="I111" s="198">
        <f>Step!F115/1000000</f>
        <v>3.8106142178820113</v>
      </c>
      <c r="J111" s="198">
        <f>Step!F124/1000000</f>
        <v>180.61349472130152</v>
      </c>
      <c r="K111" s="198">
        <f>Step!F133/1000000</f>
        <v>0</v>
      </c>
      <c r="L111" s="198">
        <f>Step!F142/1000000</f>
        <v>0</v>
      </c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</row>
    <row r="112" spans="2:28" x14ac:dyDescent="0.2">
      <c r="B112" s="214" t="str">
        <f>'Option inputs'!$C$17</f>
        <v>Option 2</v>
      </c>
      <c r="C112" s="198">
        <f>Step!F10/1000000</f>
        <v>37.554318315618268</v>
      </c>
      <c r="D112" s="198">
        <f>Step!F60/1000000</f>
        <v>-273.20917512823519</v>
      </c>
      <c r="E112" s="198">
        <f>Step!F69/1000000</f>
        <v>-37.955732735147741</v>
      </c>
      <c r="F112" s="198">
        <f>Step!F89/1000000</f>
        <v>-10.601681408986979</v>
      </c>
      <c r="G112" s="198">
        <f>Step!F98/1000000</f>
        <v>79.316253767942925</v>
      </c>
      <c r="H112" s="198">
        <f>Step!F107/1000000</f>
        <v>78.373311247207582</v>
      </c>
      <c r="I112" s="198">
        <f>Step!F116/1000000</f>
        <v>3.9611492973020068</v>
      </c>
      <c r="J112" s="198">
        <f>Step!F125/1000000</f>
        <v>197.67019327553572</v>
      </c>
      <c r="K112" s="198">
        <f>Step!F134/1000000</f>
        <v>0</v>
      </c>
      <c r="L112" s="198">
        <f>Step!F143/1000000</f>
        <v>0</v>
      </c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</row>
    <row r="113" spans="2:28" x14ac:dyDescent="0.2">
      <c r="B113" s="214" t="str">
        <f>'Option inputs'!$C$18</f>
        <v>Option 3</v>
      </c>
      <c r="C113" s="198">
        <f>Step!F11/1000000</f>
        <v>8.5734748436076593</v>
      </c>
      <c r="D113" s="198">
        <f>Step!F61/1000000</f>
        <v>-37.359125191602097</v>
      </c>
      <c r="E113" s="198">
        <f>Step!F70/1000000</f>
        <v>-5.2265185098549329</v>
      </c>
      <c r="F113" s="198">
        <f>Step!F90/1000000</f>
        <v>-2.3292277425580137</v>
      </c>
      <c r="G113" s="198">
        <f>Step!F99/1000000</f>
        <v>2.1511771650750906</v>
      </c>
      <c r="H113" s="198">
        <f>Step!F108/1000000</f>
        <v>3.6026785646236479</v>
      </c>
      <c r="I113" s="198">
        <f>Step!F117/1000000</f>
        <v>0.13327185089800328</v>
      </c>
      <c r="J113" s="198">
        <f>Step!F126/1000000</f>
        <v>47.601218707025978</v>
      </c>
      <c r="K113" s="198">
        <f>Step!F135/1000000</f>
        <v>0</v>
      </c>
      <c r="L113" s="198">
        <f>Step!F144/1000000</f>
        <v>0</v>
      </c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</row>
    <row r="114" spans="2:28" x14ac:dyDescent="0.2">
      <c r="B114" s="214" t="str">
        <f>'Option inputs'!$C$19</f>
        <v>Option 4</v>
      </c>
      <c r="C114" s="198">
        <f>Step!F12/1000000</f>
        <v>135.58379709853281</v>
      </c>
      <c r="D114" s="266" t="s">
        <v>240</v>
      </c>
      <c r="E114" s="251"/>
      <c r="F114" s="251"/>
      <c r="G114" s="251"/>
      <c r="H114" s="251"/>
      <c r="I114" s="251"/>
      <c r="J114" s="251"/>
      <c r="K114" s="251"/>
      <c r="L114" s="252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</row>
    <row r="115" spans="2:28" x14ac:dyDescent="0.2">
      <c r="B115" s="214" t="str">
        <f>'Option inputs'!$C$20</f>
        <v>Option 5</v>
      </c>
      <c r="C115" s="198">
        <f>Step!F13/1000000</f>
        <v>10.26158091753625</v>
      </c>
      <c r="D115" s="267" t="s">
        <v>240</v>
      </c>
      <c r="E115" s="253"/>
      <c r="F115" s="253"/>
      <c r="G115" s="253"/>
      <c r="H115" s="253"/>
      <c r="I115" s="253"/>
      <c r="J115" s="253"/>
      <c r="K115" s="253"/>
      <c r="L115" s="254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</row>
    <row r="116" spans="2:28" x14ac:dyDescent="0.2"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</row>
    <row r="117" spans="2:28" x14ac:dyDescent="0.2"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</row>
    <row r="118" spans="2:28" x14ac:dyDescent="0.2"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</row>
    <row r="119" spans="2:28" x14ac:dyDescent="0.2"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</row>
    <row r="120" spans="2:28" x14ac:dyDescent="0.2"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</row>
    <row r="121" spans="2:28" x14ac:dyDescent="0.2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</row>
    <row r="122" spans="2:28" x14ac:dyDescent="0.2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</row>
    <row r="123" spans="2:28" x14ac:dyDescent="0.2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</row>
    <row r="124" spans="2:28" x14ac:dyDescent="0.2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</row>
    <row r="125" spans="2:28" x14ac:dyDescent="0.2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</row>
    <row r="126" spans="2:28" x14ac:dyDescent="0.2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</row>
    <row r="127" spans="2:28" x14ac:dyDescent="0.2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</row>
    <row r="128" spans="2:28" x14ac:dyDescent="0.2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</row>
    <row r="129" spans="1:31" x14ac:dyDescent="0.2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</row>
    <row r="130" spans="1:31" x14ac:dyDescent="0.2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</row>
    <row r="131" spans="1:31" x14ac:dyDescent="0.2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</row>
    <row r="132" spans="1:31" x14ac:dyDescent="0.2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</row>
    <row r="133" spans="1:31" x14ac:dyDescent="0.2">
      <c r="A133" s="161"/>
      <c r="B133" s="206" t="str">
        <f>INDEX($B$86:$B$91,MATCH(1,$D$86:$D$91,0))</f>
        <v>Option 1A</v>
      </c>
      <c r="C133" s="121" t="str">
        <f>C5</f>
        <v>2020-21</v>
      </c>
      <c r="D133" s="121" t="str">
        <f t="shared" ref="D133:AB133" si="7">D5</f>
        <v>2021-22</v>
      </c>
      <c r="E133" s="121" t="str">
        <f t="shared" si="7"/>
        <v>2022-23</v>
      </c>
      <c r="F133" s="121" t="str">
        <f t="shared" si="7"/>
        <v>2023-24</v>
      </c>
      <c r="G133" s="121" t="str">
        <f t="shared" si="7"/>
        <v>2024-25</v>
      </c>
      <c r="H133" s="121" t="str">
        <f t="shared" si="7"/>
        <v>2025-26</v>
      </c>
      <c r="I133" s="121" t="str">
        <f t="shared" si="7"/>
        <v>2026-27</v>
      </c>
      <c r="J133" s="121" t="str">
        <f t="shared" si="7"/>
        <v>2027-28</v>
      </c>
      <c r="K133" s="121" t="str">
        <f t="shared" si="7"/>
        <v>2028-29</v>
      </c>
      <c r="L133" s="121" t="str">
        <f t="shared" si="7"/>
        <v>2029-30</v>
      </c>
      <c r="M133" s="121" t="str">
        <f t="shared" si="7"/>
        <v>2030-31</v>
      </c>
      <c r="N133" s="121" t="str">
        <f t="shared" si="7"/>
        <v>2031-32</v>
      </c>
      <c r="O133" s="121" t="str">
        <f t="shared" si="7"/>
        <v>2032-33</v>
      </c>
      <c r="P133" s="121" t="str">
        <f t="shared" si="7"/>
        <v>2033-34</v>
      </c>
      <c r="Q133" s="121" t="str">
        <f t="shared" si="7"/>
        <v>2034-35</v>
      </c>
      <c r="R133" s="121" t="str">
        <f t="shared" si="7"/>
        <v>2035-36</v>
      </c>
      <c r="S133" s="121" t="str">
        <f t="shared" si="7"/>
        <v>2036-37</v>
      </c>
      <c r="T133" s="121" t="str">
        <f t="shared" si="7"/>
        <v>2037-38</v>
      </c>
      <c r="U133" s="121" t="str">
        <f t="shared" si="7"/>
        <v>2038-39</v>
      </c>
      <c r="V133" s="121" t="str">
        <f t="shared" si="7"/>
        <v>2039-40</v>
      </c>
      <c r="W133" s="121" t="str">
        <f t="shared" si="7"/>
        <v>2040-41</v>
      </c>
      <c r="X133" s="121" t="str">
        <f t="shared" si="7"/>
        <v>2041-42</v>
      </c>
      <c r="Y133" s="121" t="str">
        <f t="shared" si="7"/>
        <v>2042-43</v>
      </c>
      <c r="Z133" s="121" t="str">
        <f t="shared" si="7"/>
        <v>2043-44</v>
      </c>
      <c r="AA133" s="121" t="str">
        <f t="shared" si="7"/>
        <v>2044-45</v>
      </c>
      <c r="AB133" s="121" t="str">
        <f t="shared" si="7"/>
        <v>2045-46</v>
      </c>
    </row>
    <row r="134" spans="1:31" x14ac:dyDescent="0.2">
      <c r="A134" s="161"/>
      <c r="B134" s="214" t="s">
        <v>181</v>
      </c>
      <c r="C134" s="215">
        <f>INDEX(Step!$G$87:$AF$92,MATCH('Chart tables'!$B$60,Step!$C$87:$C$92,0),MATCH('Chart tables'!C$60,Step!$G$38:$AF$38,0))*C$7</f>
        <v>0</v>
      </c>
      <c r="D134" s="125">
        <f>INDEX(Step!$G$87:$AF$92,MATCH('Chart tables'!$B$133,Step!$C$87:$C$92,0),MATCH('Chart tables'!D$60,Step!$G$38:$AF$38,0))*D$7+C134</f>
        <v>-208703.36287954357</v>
      </c>
      <c r="E134" s="125">
        <f>INDEX(Step!$G$87:$AF$92,MATCH('Chart tables'!$B$133,Step!$C$87:$C$92,0),MATCH('Chart tables'!E$60,Step!$G$38:$AF$38,0))*E$7+D134</f>
        <v>-208803.65085878491</v>
      </c>
      <c r="F134" s="125">
        <f>INDEX(Step!$G$87:$AF$92,MATCH('Chart tables'!$B$133,Step!$C$87:$C$92,0),MATCH('Chart tables'!F$60,Step!$G$38:$AF$38,0))*F$7+E134</f>
        <v>-582327.83940266713</v>
      </c>
      <c r="G134" s="125">
        <f>INDEX(Step!$G$87:$AF$92,MATCH('Chart tables'!$B$133,Step!$C$87:$C$92,0),MATCH('Chart tables'!G$60,Step!$G$38:$AF$38,0))*G$7+F134</f>
        <v>-13857555.996042794</v>
      </c>
      <c r="H134" s="125">
        <f>INDEX(Step!$G$87:$AF$92,MATCH('Chart tables'!$B$133,Step!$C$87:$C$92,0),MATCH('Chart tables'!H$60,Step!$G$38:$AF$38,0))*H$7+G134</f>
        <v>-13857674.901475314</v>
      </c>
      <c r="I134" s="125">
        <f>INDEX(Step!$G$87:$AF$92,MATCH('Chart tables'!$B$133,Step!$C$87:$C$92,0),MATCH('Chart tables'!I$60,Step!$G$38:$AF$38,0))*I$7+H134</f>
        <v>-13857800.759031599</v>
      </c>
      <c r="J134" s="125">
        <f>INDEX(Step!$G$87:$AF$92,MATCH('Chart tables'!$B$133,Step!$C$87:$C$92,0),MATCH('Chart tables'!J$60,Step!$G$38:$AF$38,0))*J$7+I134</f>
        <v>-13857934.433954734</v>
      </c>
      <c r="K134" s="125">
        <f>INDEX(Step!$G$87:$AF$92,MATCH('Chart tables'!$B$133,Step!$C$87:$C$92,0),MATCH('Chart tables'!K$60,Step!$G$38:$AF$38,0))*K$7+J134</f>
        <v>-13858075.453101482</v>
      </c>
      <c r="L134" s="125">
        <f>INDEX(Step!$G$87:$AF$92,MATCH('Chart tables'!$B$133,Step!$C$87:$C$92,0),MATCH('Chart tables'!L$60,Step!$G$38:$AF$38,0))*L$7+K134</f>
        <v>-13858224.783514861</v>
      </c>
      <c r="M134" s="125">
        <f>INDEX(Step!$G$87:$AF$92,MATCH('Chart tables'!$B$133,Step!$C$87:$C$92,0),MATCH('Chart tables'!M$60,Step!$G$38:$AF$38,0))*M$7+L134</f>
        <v>-13858382.7616584</v>
      </c>
      <c r="N134" s="125">
        <f>INDEX(Step!$G$87:$AF$92,MATCH('Chart tables'!$B$133,Step!$C$87:$C$92,0),MATCH('Chart tables'!N$60,Step!$G$38:$AF$38,0))*N$7+M134</f>
        <v>-13858550.739701759</v>
      </c>
      <c r="O134" s="125">
        <f>INDEX(Step!$G$87:$AF$92,MATCH('Chart tables'!$B$133,Step!$C$87:$C$92,0),MATCH('Chart tables'!O$60,Step!$G$38:$AF$38,0))*O$7+N134</f>
        <v>-13858727.904076772</v>
      </c>
      <c r="P134" s="125">
        <f>INDEX(Step!$G$87:$AF$92,MATCH('Chart tables'!$B$133,Step!$C$87:$C$92,0),MATCH('Chart tables'!P$60,Step!$G$38:$AF$38,0))*P$7+O134</f>
        <v>-13858915.721563037</v>
      </c>
      <c r="Q134" s="125">
        <f>INDEX(Step!$G$87:$AF$92,MATCH('Chart tables'!$B$133,Step!$C$87:$C$92,0),MATCH('Chart tables'!Q$60,Step!$G$38:$AF$38,0))*Q$7+P134</f>
        <v>-13859114.617979558</v>
      </c>
      <c r="R134" s="125">
        <f>INDEX(Step!$G$87:$AF$92,MATCH('Chart tables'!$B$133,Step!$C$87:$C$92,0),MATCH('Chart tables'!R$60,Step!$G$38:$AF$38,0))*R$7+Q134</f>
        <v>-13859325.885563618</v>
      </c>
      <c r="S134" s="125">
        <f>INDEX(Step!$G$87:$AF$92,MATCH('Chart tables'!$B$133,Step!$C$87:$C$92,0),MATCH('Chart tables'!S$60,Step!$G$38:$AF$38,0))*S$7+R134</f>
        <v>-13859549.180103557</v>
      </c>
      <c r="T134" s="125">
        <f>INDEX(Step!$G$87:$AF$92,MATCH('Chart tables'!$B$133,Step!$C$87:$C$92,0),MATCH('Chart tables'!T$60,Step!$G$38:$AF$38,0))*T$7+S134</f>
        <v>-13859785.426583475</v>
      </c>
      <c r="U134" s="125">
        <f>INDEX(Step!$G$87:$AF$92,MATCH('Chart tables'!$B$133,Step!$C$87:$C$92,0),MATCH('Chart tables'!U$60,Step!$G$38:$AF$38,0))*U$7+T134</f>
        <v>-13860035.383488413</v>
      </c>
      <c r="V134" s="125">
        <f>INDEX(Step!$G$87:$AF$92,MATCH('Chart tables'!$B$133,Step!$C$87:$C$92,0),MATCH('Chart tables'!V$60,Step!$G$38:$AF$38,0))*V$7+U134</f>
        <v>-13860301.082996193</v>
      </c>
      <c r="W134" s="125">
        <f>INDEX(Step!$G$87:$AF$92,MATCH('Chart tables'!$B$133,Step!$C$87:$C$92,0),MATCH('Chart tables'!W$60,Step!$G$38:$AF$38,0))*W$7+V134</f>
        <v>-13860582.105243362</v>
      </c>
      <c r="X134" s="125">
        <f>INDEX(Step!$G$87:$AF$92,MATCH('Chart tables'!$B$133,Step!$C$87:$C$92,0),MATCH('Chart tables'!X$60,Step!$G$38:$AF$38,0))*X$7+W134</f>
        <v>-13860878.453887139</v>
      </c>
      <c r="Y134" s="125">
        <f>INDEX(Step!$G$87:$AF$92,MATCH('Chart tables'!$B$133,Step!$C$87:$C$92,0),MATCH('Chart tables'!Y$60,Step!$G$38:$AF$38,0))*Y$7+X134</f>
        <v>-13861192.767925287</v>
      </c>
      <c r="Z134" s="125">
        <f>INDEX(Step!$G$87:$AF$92,MATCH('Chart tables'!$B$133,Step!$C$87:$C$92,0),MATCH('Chart tables'!Z$60,Step!$G$38:$AF$38,0))*Z$7+Y134</f>
        <v>-13861526.571685774</v>
      </c>
      <c r="AA134" s="125">
        <f>INDEX(Step!$G$87:$AF$92,MATCH('Chart tables'!$B$133,Step!$C$87:$C$92,0),MATCH('Chart tables'!AA$60,Step!$G$38:$AF$38,0))*AA$7+Z134</f>
        <v>-13861877.597058687</v>
      </c>
      <c r="AB134" s="125">
        <f>INDEX(Step!$G$87:$AF$92,MATCH('Chart tables'!$B$133,Step!$C$87:$C$92,0),MATCH('Chart tables'!AB$60,Step!$G$38:$AF$38,0))*AB$7+AA134</f>
        <v>-13862249.049061453</v>
      </c>
      <c r="AD134" s="126"/>
    </row>
    <row r="135" spans="1:31" x14ac:dyDescent="0.2">
      <c r="A135" s="161"/>
      <c r="B135" s="214" t="s">
        <v>185</v>
      </c>
      <c r="C135" s="215">
        <f>INDEX(Step!$G$96:$AF$101,MATCH('Chart tables'!$B$60,Step!$C$96:$C$101,0),MATCH('Chart tables'!C$60,Step!$G$38:$AF$38,0))*C$7</f>
        <v>0</v>
      </c>
      <c r="D135" s="125">
        <f>INDEX(Step!$G$96:$AF$101,MATCH('Chart tables'!$B$133,Step!$C$96:$C$101,0),MATCH('Chart tables'!D$60,Step!$G$38:$AF$38,0))*D$7+C135</f>
        <v>-315.49146525652986</v>
      </c>
      <c r="E135" s="125">
        <f>INDEX(Step!$G$96:$AF$101,MATCH('Chart tables'!$B$133,Step!$C$96:$C$101,0),MATCH('Chart tables'!E$60,Step!$G$38:$AF$38,0))*E$7+D135</f>
        <v>42633755.558325484</v>
      </c>
      <c r="F135" s="125">
        <f>INDEX(Step!$G$96:$AF$101,MATCH('Chart tables'!$B$133,Step!$C$96:$C$101,0),MATCH('Chart tables'!F$60,Step!$G$38:$AF$38,0))*F$7+E135</f>
        <v>40421673.991961315</v>
      </c>
      <c r="G135" s="125">
        <f>INDEX(Step!$G$96:$AF$101,MATCH('Chart tables'!$B$133,Step!$C$96:$C$101,0),MATCH('Chart tables'!G$60,Step!$G$38:$AF$38,0))*G$7+F135</f>
        <v>42794364.927609161</v>
      </c>
      <c r="H135" s="125">
        <f>INDEX(Step!$G$96:$AF$101,MATCH('Chart tables'!$B$133,Step!$C$96:$C$101,0),MATCH('Chart tables'!H$60,Step!$G$38:$AF$38,0))*H$7+G135</f>
        <v>91726100.548731789</v>
      </c>
      <c r="I135" s="125">
        <f>INDEX(Step!$G$96:$AF$101,MATCH('Chart tables'!$B$133,Step!$C$96:$C$101,0),MATCH('Chart tables'!I$60,Step!$G$38:$AF$38,0))*I$7+H135</f>
        <v>69553808.848953471</v>
      </c>
      <c r="J135" s="125">
        <f>INDEX(Step!$G$96:$AF$101,MATCH('Chart tables'!$B$133,Step!$C$96:$C$101,0),MATCH('Chart tables'!J$60,Step!$G$38:$AF$38,0))*J$7+I135</f>
        <v>70906888.728675231</v>
      </c>
      <c r="K135" s="125">
        <f>INDEX(Step!$G$96:$AF$101,MATCH('Chart tables'!$B$133,Step!$C$96:$C$101,0),MATCH('Chart tables'!K$60,Step!$G$38:$AF$38,0))*K$7+J135</f>
        <v>142830639.47052729</v>
      </c>
      <c r="L135" s="125">
        <f>INDEX(Step!$G$96:$AF$101,MATCH('Chart tables'!$B$133,Step!$C$96:$C$101,0),MATCH('Chart tables'!L$60,Step!$G$38:$AF$38,0))*L$7+K135</f>
        <v>212193185.04895979</v>
      </c>
      <c r="M135" s="125">
        <f>INDEX(Step!$G$96:$AF$101,MATCH('Chart tables'!$B$133,Step!$C$96:$C$101,0),MATCH('Chart tables'!M$60,Step!$G$38:$AF$38,0))*M$7+L135</f>
        <v>108476348.47231942</v>
      </c>
      <c r="N135" s="125">
        <f>INDEX(Step!$G$96:$AF$101,MATCH('Chart tables'!$B$133,Step!$C$96:$C$101,0),MATCH('Chart tables'!N$60,Step!$G$38:$AF$38,0))*N$7+M135</f>
        <v>107288027.08144259</v>
      </c>
      <c r="O135" s="125">
        <f>INDEX(Step!$G$96:$AF$101,MATCH('Chart tables'!$B$133,Step!$C$96:$C$101,0),MATCH('Chart tables'!O$60,Step!$G$38:$AF$38,0))*O$7+N135</f>
        <v>99506445.890022516</v>
      </c>
      <c r="P135" s="125">
        <f>INDEX(Step!$G$96:$AF$101,MATCH('Chart tables'!$B$133,Step!$C$96:$C$101,0),MATCH('Chart tables'!P$60,Step!$G$38:$AF$38,0))*P$7+O135</f>
        <v>78264821.497096568</v>
      </c>
      <c r="Q135" s="125">
        <f>INDEX(Step!$G$96:$AF$101,MATCH('Chart tables'!$B$133,Step!$C$96:$C$101,0),MATCH('Chart tables'!Q$60,Step!$G$38:$AF$38,0))*Q$7+P135</f>
        <v>78264559.290099055</v>
      </c>
      <c r="R135" s="125">
        <f>INDEX(Step!$G$96:$AF$101,MATCH('Chart tables'!$B$133,Step!$C$96:$C$101,0),MATCH('Chart tables'!R$60,Step!$G$38:$AF$38,0))*R$7+Q135</f>
        <v>57873659.545458764</v>
      </c>
      <c r="S135" s="125">
        <f>INDEX(Step!$G$96:$AF$101,MATCH('Chart tables'!$B$133,Step!$C$96:$C$101,0),MATCH('Chart tables'!S$60,Step!$G$38:$AF$38,0))*S$7+R135</f>
        <v>127583391.87380388</v>
      </c>
      <c r="T135" s="125">
        <f>INDEX(Step!$G$96:$AF$101,MATCH('Chart tables'!$B$133,Step!$C$96:$C$101,0),MATCH('Chart tables'!T$60,Step!$G$38:$AF$38,0))*T$7+S135</f>
        <v>93841275.335200578</v>
      </c>
      <c r="U135" s="125">
        <f>INDEX(Step!$G$96:$AF$101,MATCH('Chart tables'!$B$133,Step!$C$96:$C$101,0),MATCH('Chart tables'!U$60,Step!$G$38:$AF$38,0))*U$7+T135</f>
        <v>92986993.177569121</v>
      </c>
      <c r="V135" s="125">
        <f>INDEX(Step!$G$96:$AF$101,MATCH('Chart tables'!$B$133,Step!$C$96:$C$101,0),MATCH('Chart tables'!V$60,Step!$G$38:$AF$38,0))*V$7+U135</f>
        <v>94571783.615052566</v>
      </c>
      <c r="W135" s="125">
        <f>INDEX(Step!$G$96:$AF$101,MATCH('Chart tables'!$B$133,Step!$C$96:$C$101,0),MATCH('Chart tables'!W$60,Step!$G$38:$AF$38,0))*W$7+V135</f>
        <v>91431132.295045078</v>
      </c>
      <c r="X135" s="125">
        <f>INDEX(Step!$G$96:$AF$101,MATCH('Chart tables'!$B$133,Step!$C$96:$C$101,0),MATCH('Chart tables'!X$60,Step!$G$38:$AF$38,0))*X$7+W135</f>
        <v>113934321.52224749</v>
      </c>
      <c r="Y135" s="125">
        <f>INDEX(Step!$G$96:$AF$101,MATCH('Chart tables'!$B$133,Step!$C$96:$C$101,0),MATCH('Chart tables'!Y$60,Step!$G$38:$AF$38,0))*Y$7+X135</f>
        <v>111095398.29939574</v>
      </c>
      <c r="Z135" s="125">
        <f>INDEX(Step!$G$96:$AF$101,MATCH('Chart tables'!$B$133,Step!$C$96:$C$101,0),MATCH('Chart tables'!Z$60,Step!$G$38:$AF$38,0))*Z$7+Y135</f>
        <v>103899051.20321997</v>
      </c>
      <c r="AA135" s="125">
        <f>INDEX(Step!$G$96:$AF$101,MATCH('Chart tables'!$B$133,Step!$C$96:$C$101,0),MATCH('Chart tables'!AA$60,Step!$G$38:$AF$38,0))*AA$7+Z135</f>
        <v>103899040.89173475</v>
      </c>
      <c r="AB135" s="125">
        <f>INDEX(Step!$G$96:$AF$101,MATCH('Chart tables'!$B$133,Step!$C$96:$C$101,0),MATCH('Chart tables'!AB$60,Step!$G$38:$AF$38,0))*AB$7+AA135</f>
        <v>103899045.85987474</v>
      </c>
    </row>
    <row r="136" spans="1:31" x14ac:dyDescent="0.2">
      <c r="A136" s="161"/>
      <c r="B136" s="214" t="s">
        <v>182</v>
      </c>
      <c r="C136" s="215">
        <f>INDEX(Step!$G$105:$AF$110,MATCH('Chart tables'!$B$60,Step!$C$105:$C$110,0),MATCH('Chart tables'!C$60,Step!$G$38:$AF$38,0))*C$7</f>
        <v>0</v>
      </c>
      <c r="D136" s="125">
        <f>INDEX(Step!$G$105:$AF$110,MATCH('Chart tables'!$B$133,Step!$C$105:$C$110,0),MATCH('Chart tables'!D$60,Step!$G$38:$AF$38,0))*D$7+C136</f>
        <v>3513049.4910850525</v>
      </c>
      <c r="E136" s="125">
        <f>INDEX(Step!$G$105:$AF$110,MATCH('Chart tables'!$B$133,Step!$C$105:$C$110,0),MATCH('Chart tables'!E$60,Step!$G$38:$AF$38,0))*E$7+D136</f>
        <v>7616601.5609240532</v>
      </c>
      <c r="F136" s="125">
        <f>INDEX(Step!$G$105:$AF$110,MATCH('Chart tables'!$B$133,Step!$C$105:$C$110,0),MATCH('Chart tables'!F$60,Step!$G$38:$AF$38,0))*F$7+E136</f>
        <v>9325329.0451340675</v>
      </c>
      <c r="G136" s="125">
        <f>INDEX(Step!$G$105:$AF$110,MATCH('Chart tables'!$B$133,Step!$C$105:$C$110,0),MATCH('Chart tables'!G$60,Step!$G$38:$AF$38,0))*G$7+F136</f>
        <v>13415582.269227982</v>
      </c>
      <c r="H136" s="125">
        <f>INDEX(Step!$G$105:$AF$110,MATCH('Chart tables'!$B$133,Step!$C$105:$C$110,0),MATCH('Chart tables'!H$60,Step!$G$38:$AF$38,0))*H$7+G136</f>
        <v>26582154.791118145</v>
      </c>
      <c r="I136" s="125">
        <f>INDEX(Step!$G$105:$AF$110,MATCH('Chart tables'!$B$133,Step!$C$105:$C$110,0),MATCH('Chart tables'!I$60,Step!$G$38:$AF$38,0))*I$7+H136</f>
        <v>24607344.572680473</v>
      </c>
      <c r="J136" s="125">
        <f>INDEX(Step!$G$105:$AF$110,MATCH('Chart tables'!$B$133,Step!$C$105:$C$110,0),MATCH('Chart tables'!J$60,Step!$G$38:$AF$38,0))*J$7+I136</f>
        <v>24131470.281323433</v>
      </c>
      <c r="K136" s="125">
        <f>INDEX(Step!$G$105:$AF$110,MATCH('Chart tables'!$B$133,Step!$C$105:$C$110,0),MATCH('Chart tables'!K$60,Step!$G$38:$AF$38,0))*K$7+J136</f>
        <v>22369817.590494394</v>
      </c>
      <c r="L136" s="125">
        <f>INDEX(Step!$G$105:$AF$110,MATCH('Chart tables'!$B$133,Step!$C$105:$C$110,0),MATCH('Chart tables'!L$60,Step!$G$38:$AF$38,0))*L$7+K136</f>
        <v>31515420.740697145</v>
      </c>
      <c r="M136" s="125">
        <f>INDEX(Step!$G$105:$AF$110,MATCH('Chart tables'!$B$133,Step!$C$105:$C$110,0),MATCH('Chart tables'!M$60,Step!$G$38:$AF$38,0))*M$7+L136</f>
        <v>55654229.73423481</v>
      </c>
      <c r="N136" s="125">
        <f>INDEX(Step!$G$105:$AF$110,MATCH('Chart tables'!$B$133,Step!$C$105:$C$110,0),MATCH('Chart tables'!N$60,Step!$G$38:$AF$38,0))*N$7+M136</f>
        <v>78728663.54423058</v>
      </c>
      <c r="O136" s="125">
        <f>INDEX(Step!$G$105:$AF$110,MATCH('Chart tables'!$B$133,Step!$C$105:$C$110,0),MATCH('Chart tables'!O$60,Step!$G$38:$AF$38,0))*O$7+N136</f>
        <v>97983337.171159267</v>
      </c>
      <c r="P136" s="125">
        <f>INDEX(Step!$G$105:$AF$110,MATCH('Chart tables'!$B$133,Step!$C$105:$C$110,0),MATCH('Chart tables'!P$60,Step!$G$38:$AF$38,0))*P$7+O136</f>
        <v>123461897.45074105</v>
      </c>
      <c r="Q136" s="125">
        <f>INDEX(Step!$G$105:$AF$110,MATCH('Chart tables'!$B$133,Step!$C$105:$C$110,0),MATCH('Chart tables'!Q$60,Step!$G$38:$AF$38,0))*Q$7+P136</f>
        <v>150629491.63233423</v>
      </c>
      <c r="R136" s="125">
        <f>INDEX(Step!$G$105:$AF$110,MATCH('Chart tables'!$B$133,Step!$C$105:$C$110,0),MATCH('Chart tables'!R$60,Step!$G$38:$AF$38,0))*R$7+Q136</f>
        <v>151453522.8158412</v>
      </c>
      <c r="S136" s="125">
        <f>INDEX(Step!$G$105:$AF$110,MATCH('Chart tables'!$B$133,Step!$C$105:$C$110,0),MATCH('Chart tables'!S$60,Step!$G$38:$AF$38,0))*S$7+R136</f>
        <v>149171834.53889537</v>
      </c>
      <c r="T136" s="125">
        <f>INDEX(Step!$G$105:$AF$110,MATCH('Chart tables'!$B$133,Step!$C$105:$C$110,0),MATCH('Chart tables'!T$60,Step!$G$38:$AF$38,0))*T$7+S136</f>
        <v>146929115.24591351</v>
      </c>
      <c r="U136" s="125">
        <f>INDEX(Step!$G$105:$AF$110,MATCH('Chart tables'!$B$133,Step!$C$105:$C$110,0),MATCH('Chart tables'!U$60,Step!$G$38:$AF$38,0))*U$7+T136</f>
        <v>146924787.71376574</v>
      </c>
      <c r="V136" s="125">
        <f>INDEX(Step!$G$105:$AF$110,MATCH('Chart tables'!$B$133,Step!$C$105:$C$110,0),MATCH('Chart tables'!V$60,Step!$G$38:$AF$38,0))*V$7+U136</f>
        <v>144156086.12725937</v>
      </c>
      <c r="W136" s="125">
        <f>INDEX(Step!$G$105:$AF$110,MATCH('Chart tables'!$B$133,Step!$C$105:$C$110,0),MATCH('Chart tables'!W$60,Step!$G$38:$AF$38,0))*W$7+V136</f>
        <v>138888726.25086057</v>
      </c>
      <c r="X136" s="125">
        <f>INDEX(Step!$G$105:$AF$110,MATCH('Chart tables'!$B$133,Step!$C$105:$C$110,0),MATCH('Chart tables'!X$60,Step!$G$38:$AF$38,0))*X$7+W136</f>
        <v>136903250.08696222</v>
      </c>
      <c r="Y136" s="125">
        <f>INDEX(Step!$G$105:$AF$110,MATCH('Chart tables'!$B$133,Step!$C$105:$C$110,0),MATCH('Chart tables'!Y$60,Step!$G$38:$AF$38,0))*Y$7+X136</f>
        <v>133069923.88121438</v>
      </c>
      <c r="Z136" s="125">
        <f>INDEX(Step!$G$105:$AF$110,MATCH('Chart tables'!$B$133,Step!$C$105:$C$110,0),MATCH('Chart tables'!Z$60,Step!$G$38:$AF$38,0))*Z$7+Y136</f>
        <v>131409942.46428764</v>
      </c>
      <c r="AA136" s="125">
        <f>INDEX(Step!$G$105:$AF$110,MATCH('Chart tables'!$B$133,Step!$C$105:$C$110,0),MATCH('Chart tables'!AA$60,Step!$G$38:$AF$38,0))*AA$7+Z136</f>
        <v>130081521.6635763</v>
      </c>
      <c r="AB136" s="125">
        <f>INDEX(Step!$G$105:$AF$110,MATCH('Chart tables'!$B$133,Step!$C$105:$C$110,0),MATCH('Chart tables'!AB$60,Step!$G$38:$AF$38,0))*AB$7+AA136</f>
        <v>128716056.74837768</v>
      </c>
    </row>
    <row r="137" spans="1:31" x14ac:dyDescent="0.2">
      <c r="A137" s="161"/>
      <c r="B137" s="214" t="s">
        <v>184</v>
      </c>
      <c r="C137" s="215">
        <f>INDEX(Step!$G$114:$AF$119,MATCH('Chart tables'!$B$60,Step!$C$114:$C$119,0),MATCH('Chart tables'!C$60,Step!$G$38:$AF$38,0))*C$7</f>
        <v>0</v>
      </c>
      <c r="D137" s="125">
        <f>INDEX(Step!$G$114:$AF$119,MATCH('Chart tables'!$B$133,Step!$C$114:$C$119,0),MATCH('Chart tables'!D$60,Step!$G$38:$AF$38,0))*D$7+C137</f>
        <v>-6994.990434117266</v>
      </c>
      <c r="E137" s="198">
        <f>INDEX(Step!$G$114:$AF$119,MATCH('Chart tables'!$B$133,Step!$C$114:$C$119,0),MATCH('Chart tables'!E$60,Step!$G$38:$AF$38,0))*E$7+D137</f>
        <v>-7443.5785154632795</v>
      </c>
      <c r="F137" s="198">
        <f>INDEX(Step!$G$114:$AF$119,MATCH('Chart tables'!$B$133,Step!$C$114:$C$119,0),MATCH('Chart tables'!F$60,Step!$G$38:$AF$38,0))*F$7+E137</f>
        <v>-19865.322727318158</v>
      </c>
      <c r="G137" s="198">
        <f>INDEX(Step!$G$114:$AF$119,MATCH('Chart tables'!$B$133,Step!$C$114:$C$119,0),MATCH('Chart tables'!G$60,Step!$G$38:$AF$38,0))*G$7+F137</f>
        <v>-601565.12772703264</v>
      </c>
      <c r="H137" s="198">
        <f>INDEX(Step!$G$114:$AF$119,MATCH('Chart tables'!$B$133,Step!$C$114:$C$119,0),MATCH('Chart tables'!H$60,Step!$G$38:$AF$38,0))*H$7+G137</f>
        <v>-602108.47094193986</v>
      </c>
      <c r="I137" s="198">
        <f>INDEX(Step!$G$114:$AF$119,MATCH('Chart tables'!$B$133,Step!$C$114:$C$119,0),MATCH('Chart tables'!I$60,Step!$G$38:$AF$38,0))*I$7+H137</f>
        <v>-602671.82913915033</v>
      </c>
      <c r="J137" s="198">
        <f>INDEX(Step!$G$114:$AF$119,MATCH('Chart tables'!$B$133,Step!$C$114:$C$119,0),MATCH('Chart tables'!J$60,Step!$G$38:$AF$38,0))*J$7+I137</f>
        <v>-603272.93690404901</v>
      </c>
      <c r="K137" s="198">
        <f>INDEX(Step!$G$114:$AF$119,MATCH('Chart tables'!$B$133,Step!$C$114:$C$119,0),MATCH('Chart tables'!K$60,Step!$G$38:$AF$38,0))*K$7+J137</f>
        <v>-603911.69762369886</v>
      </c>
      <c r="L137" s="198">
        <f>INDEX(Step!$G$114:$AF$119,MATCH('Chart tables'!$B$133,Step!$C$114:$C$119,0),MATCH('Chart tables'!L$60,Step!$G$38:$AF$38,0))*L$7+K137</f>
        <v>-604588.00634807791</v>
      </c>
      <c r="M137" s="198">
        <f>INDEX(Step!$G$114:$AF$119,MATCH('Chart tables'!$B$133,Step!$C$114:$C$119,0),MATCH('Chart tables'!M$60,Step!$G$38:$AF$38,0))*M$7+L137</f>
        <v>-605309.28098369273</v>
      </c>
      <c r="N137" s="198">
        <f>INDEX(Step!$G$114:$AF$119,MATCH('Chart tables'!$B$133,Step!$C$114:$C$119,0),MATCH('Chart tables'!N$60,Step!$G$38:$AF$38,0))*N$7+M137</f>
        <v>-606067.53181134351</v>
      </c>
      <c r="O137" s="198">
        <f>INDEX(Step!$G$114:$AF$119,MATCH('Chart tables'!$B$133,Step!$C$114:$C$119,0),MATCH('Chart tables'!O$60,Step!$G$38:$AF$38,0))*O$7+N137</f>
        <v>-593206.0797196161</v>
      </c>
      <c r="P137" s="198">
        <f>INDEX(Step!$G$114:$AF$119,MATCH('Chart tables'!$B$133,Step!$C$114:$C$119,0),MATCH('Chart tables'!P$60,Step!$G$38:$AF$38,0))*P$7+O137</f>
        <v>-594123.79813873768</v>
      </c>
      <c r="Q137" s="198">
        <f>INDEX(Step!$G$114:$AF$119,MATCH('Chart tables'!$B$133,Step!$C$114:$C$119,0),MATCH('Chart tables'!Q$60,Step!$G$38:$AF$38,0))*Q$7+P137</f>
        <v>-595071.85580699064</v>
      </c>
      <c r="R137" s="198">
        <f>INDEX(Step!$G$114:$AF$119,MATCH('Chart tables'!$B$133,Step!$C$114:$C$119,0),MATCH('Chart tables'!R$60,Step!$G$38:$AF$38,0))*R$7+Q137</f>
        <v>-209848.19651222276</v>
      </c>
      <c r="S137" s="198">
        <f>INDEX(Step!$G$114:$AF$119,MATCH('Chart tables'!$B$133,Step!$C$114:$C$119,0),MATCH('Chart tables'!S$60,Step!$G$38:$AF$38,0))*S$7+R137</f>
        <v>139431.24305021297</v>
      </c>
      <c r="T137" s="198">
        <f>INDEX(Step!$G$114:$AF$119,MATCH('Chart tables'!$B$133,Step!$C$114:$C$119,0),MATCH('Chart tables'!T$60,Step!$G$38:$AF$38,0))*T$7+S137</f>
        <v>-12983505.895204701</v>
      </c>
      <c r="U137" s="198">
        <f>INDEX(Step!$G$114:$AF$119,MATCH('Chart tables'!$B$133,Step!$C$114:$C$119,0),MATCH('Chart tables'!U$60,Step!$G$38:$AF$38,0))*U$7+T137</f>
        <v>-11719337.824597767</v>
      </c>
      <c r="V137" s="198">
        <f>INDEX(Step!$G$114:$AF$119,MATCH('Chart tables'!$B$133,Step!$C$114:$C$119,0),MATCH('Chart tables'!V$60,Step!$G$38:$AF$38,0))*V$7+U137</f>
        <v>-9836743.6432790961</v>
      </c>
      <c r="W137" s="198">
        <f>INDEX(Step!$G$114:$AF$119,MATCH('Chart tables'!$B$133,Step!$C$114:$C$119,0),MATCH('Chart tables'!W$60,Step!$G$38:$AF$38,0))*W$7+V137</f>
        <v>-4468684.9133291151</v>
      </c>
      <c r="X137" s="198">
        <f>INDEX(Step!$G$114:$AF$119,MATCH('Chart tables'!$B$133,Step!$C$114:$C$119,0),MATCH('Chart tables'!X$60,Step!$G$38:$AF$38,0))*X$7+W137</f>
        <v>-2712943.3697657492</v>
      </c>
      <c r="Y137" s="198">
        <f>INDEX(Step!$G$114:$AF$119,MATCH('Chart tables'!$B$133,Step!$C$114:$C$119,0),MATCH('Chart tables'!Y$60,Step!$G$38:$AF$38,0))*Y$7+X137</f>
        <v>4249259.7833996806</v>
      </c>
      <c r="Z137" s="198">
        <f>INDEX(Step!$G$114:$AF$119,MATCH('Chart tables'!$B$133,Step!$C$114:$C$119,0),MATCH('Chart tables'!Z$60,Step!$G$38:$AF$38,0))*Z$7+Y137</f>
        <v>11975778.42334036</v>
      </c>
      <c r="AA137" s="198">
        <f>INDEX(Step!$G$114:$AF$119,MATCH('Chart tables'!$B$133,Step!$C$114:$C$119,0),MATCH('Chart tables'!AA$60,Step!$G$38:$AF$38,0))*AA$7+Z137</f>
        <v>14378691.273969362</v>
      </c>
      <c r="AB137" s="198">
        <f>INDEX(Step!$G$114:$AF$119,MATCH('Chart tables'!$B$133,Step!$C$114:$C$119,0),MATCH('Chart tables'!AB$60,Step!$G$38:$AF$38,0))*AB$7+AA137</f>
        <v>19404500.506539471</v>
      </c>
    </row>
    <row r="138" spans="1:31" x14ac:dyDescent="0.2">
      <c r="A138" s="161"/>
      <c r="B138" s="214" t="s">
        <v>183</v>
      </c>
      <c r="C138" s="215">
        <f>INDEX(Step!$G$123:$AF$128,MATCH('Chart tables'!$B$60,Step!$C$123:$C$128,0),MATCH('Chart tables'!C$60,Step!$G$38:$AF$38,0))*C$7</f>
        <v>0</v>
      </c>
      <c r="D138" s="125">
        <f>INDEX(Step!$G$123:$AF$128,MATCH('Chart tables'!$B$133,Step!$C$123:$C$128,0),MATCH('Chart tables'!D$60,Step!$G$38:$AF$38,0))*D$7+C138</f>
        <v>57667202.819020748</v>
      </c>
      <c r="E138" s="125">
        <f>INDEX(Step!$G$123:$AF$128,MATCH('Chart tables'!$B$133,Step!$C$123:$C$128,0),MATCH('Chart tables'!E$60,Step!$G$38:$AF$38,0))*E$7+D138</f>
        <v>195563095.35496283</v>
      </c>
      <c r="F138" s="125">
        <f>INDEX(Step!$G$123:$AF$128,MATCH('Chart tables'!$B$133,Step!$C$123:$C$128,0),MATCH('Chart tables'!F$60,Step!$G$38:$AF$38,0))*F$7+E138</f>
        <v>225700998.82223558</v>
      </c>
      <c r="G138" s="125">
        <f>INDEX(Step!$G$123:$AF$128,MATCH('Chart tables'!$B$133,Step!$C$123:$C$128,0),MATCH('Chart tables'!G$60,Step!$G$38:$AF$38,0))*G$7+F138</f>
        <v>194409996.48307371</v>
      </c>
      <c r="H138" s="125">
        <f>INDEX(Step!$G$123:$AF$128,MATCH('Chart tables'!$B$133,Step!$C$123:$C$128,0),MATCH('Chart tables'!H$60,Step!$G$38:$AF$38,0))*H$7+G138</f>
        <v>209548626.44375992</v>
      </c>
      <c r="I138" s="125">
        <f>INDEX(Step!$G$123:$AF$128,MATCH('Chart tables'!$B$133,Step!$C$123:$C$128,0),MATCH('Chart tables'!I$60,Step!$G$38:$AF$38,0))*I$7+H138</f>
        <v>780640556.82296562</v>
      </c>
      <c r="J138" s="125">
        <f>INDEX(Step!$G$123:$AF$128,MATCH('Chart tables'!$B$133,Step!$C$123:$C$128,0),MATCH('Chart tables'!J$60,Step!$G$38:$AF$38,0))*J$7+I138</f>
        <v>638523066.23822927</v>
      </c>
      <c r="K138" s="125">
        <f>INDEX(Step!$G$123:$AF$128,MATCH('Chart tables'!$B$133,Step!$C$123:$C$128,0),MATCH('Chart tables'!K$60,Step!$G$38:$AF$38,0))*K$7+J138</f>
        <v>583599991.17330503</v>
      </c>
      <c r="L138" s="125">
        <f>INDEX(Step!$G$123:$AF$128,MATCH('Chart tables'!$B$133,Step!$C$123:$C$128,0),MATCH('Chart tables'!L$60,Step!$G$38:$AF$38,0))*L$7+K138</f>
        <v>275843045.55943823</v>
      </c>
      <c r="M138" s="125">
        <f>INDEX(Step!$G$123:$AF$128,MATCH('Chart tables'!$B$133,Step!$C$123:$C$128,0),MATCH('Chart tables'!M$60,Step!$G$38:$AF$38,0))*M$7+L138</f>
        <v>-226360227.35907793</v>
      </c>
      <c r="N138" s="125">
        <f>INDEX(Step!$G$123:$AF$128,MATCH('Chart tables'!$B$133,Step!$C$123:$C$128,0),MATCH('Chart tables'!N$60,Step!$G$38:$AF$38,0))*N$7+M138</f>
        <v>-234250340.77887559</v>
      </c>
      <c r="O138" s="125">
        <f>INDEX(Step!$G$123:$AF$128,MATCH('Chart tables'!$B$133,Step!$C$123:$C$128,0),MATCH('Chart tables'!O$60,Step!$G$38:$AF$38,0))*O$7+N138</f>
        <v>294068237.37894225</v>
      </c>
      <c r="P138" s="125">
        <f>INDEX(Step!$G$123:$AF$128,MATCH('Chart tables'!$B$133,Step!$C$123:$C$128,0),MATCH('Chart tables'!P$60,Step!$G$38:$AF$38,0))*P$7+O138</f>
        <v>142242445.29753661</v>
      </c>
      <c r="Q138" s="125">
        <f>INDEX(Step!$G$123:$AF$128,MATCH('Chart tables'!$B$133,Step!$C$123:$C$128,0),MATCH('Chart tables'!Q$60,Step!$G$38:$AF$38,0))*Q$7+P138</f>
        <v>138784494.78417361</v>
      </c>
      <c r="R138" s="125">
        <f>INDEX(Step!$G$123:$AF$128,MATCH('Chart tables'!$B$133,Step!$C$123:$C$128,0),MATCH('Chart tables'!R$60,Step!$G$38:$AF$38,0))*R$7+Q138</f>
        <v>111406174.95098913</v>
      </c>
      <c r="S138" s="125">
        <f>INDEX(Step!$G$123:$AF$128,MATCH('Chart tables'!$B$133,Step!$C$123:$C$128,0),MATCH('Chart tables'!S$60,Step!$G$38:$AF$38,0))*S$7+R138</f>
        <v>164715810.94334829</v>
      </c>
      <c r="T138" s="125">
        <f>INDEX(Step!$G$123:$AF$128,MATCH('Chart tables'!$B$133,Step!$C$123:$C$128,0),MATCH('Chart tables'!T$60,Step!$G$38:$AF$38,0))*T$7+S138</f>
        <v>201905894.25372159</v>
      </c>
      <c r="U138" s="125">
        <f>INDEX(Step!$G$123:$AF$128,MATCH('Chart tables'!$B$133,Step!$C$123:$C$128,0),MATCH('Chart tables'!U$60,Step!$G$38:$AF$38,0))*U$7+T138</f>
        <v>178524149.78787839</v>
      </c>
      <c r="V138" s="125">
        <f>INDEX(Step!$G$123:$AF$128,MATCH('Chart tables'!$B$133,Step!$C$123:$C$128,0),MATCH('Chart tables'!V$60,Step!$G$38:$AF$38,0))*V$7+U138</f>
        <v>202925448.29065311</v>
      </c>
      <c r="W138" s="125">
        <f>INDEX(Step!$G$123:$AF$128,MATCH('Chart tables'!$B$133,Step!$C$123:$C$128,0),MATCH('Chart tables'!W$60,Step!$G$38:$AF$38,0))*W$7+V138</f>
        <v>184984910.55354154</v>
      </c>
      <c r="X138" s="125">
        <f>INDEX(Step!$G$123:$AF$128,MATCH('Chart tables'!$B$133,Step!$C$123:$C$128,0),MATCH('Chart tables'!X$60,Step!$G$38:$AF$38,0))*X$7+W138</f>
        <v>144996468.87075126</v>
      </c>
      <c r="Y138" s="125">
        <f>INDEX(Step!$G$123:$AF$128,MATCH('Chart tables'!$B$133,Step!$C$123:$C$128,0),MATCH('Chart tables'!Y$60,Step!$G$38:$AF$38,0))*Y$7+X138</f>
        <v>159042024.06672418</v>
      </c>
      <c r="Z138" s="125">
        <f>INDEX(Step!$G$123:$AF$128,MATCH('Chart tables'!$B$133,Step!$C$123:$C$128,0),MATCH('Chart tables'!Z$60,Step!$G$38:$AF$38,0))*Z$7+Y138</f>
        <v>148674545.75840688</v>
      </c>
      <c r="AA138" s="125">
        <f>INDEX(Step!$G$123:$AF$128,MATCH('Chart tables'!$B$133,Step!$C$123:$C$128,0),MATCH('Chart tables'!AA$60,Step!$G$38:$AF$38,0))*AA$7+Z138</f>
        <v>144423197.45171404</v>
      </c>
      <c r="AB138" s="125">
        <f>INDEX(Step!$G$123:$AF$128,MATCH('Chart tables'!$B$133,Step!$C$123:$C$128,0),MATCH('Chart tables'!AB$60,Step!$G$38:$AF$38,0))*AB$7+AA138</f>
        <v>144309230.9797585</v>
      </c>
    </row>
    <row r="139" spans="1:31" x14ac:dyDescent="0.2">
      <c r="A139" s="161"/>
      <c r="B139" s="161"/>
      <c r="C139" s="161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D139" s="126"/>
      <c r="AE139" s="126"/>
    </row>
    <row r="140" spans="1:31" x14ac:dyDescent="0.2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</row>
    <row r="141" spans="1:31" x14ac:dyDescent="0.2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</row>
    <row r="142" spans="1:31" x14ac:dyDescent="0.2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</row>
    <row r="143" spans="1:31" x14ac:dyDescent="0.2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</row>
    <row r="144" spans="1:31" x14ac:dyDescent="0.2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</row>
    <row r="145" spans="2:28" x14ac:dyDescent="0.2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</row>
    <row r="146" spans="2:28" x14ac:dyDescent="0.2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</row>
    <row r="147" spans="2:28" x14ac:dyDescent="0.2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</row>
    <row r="148" spans="2:28" x14ac:dyDescent="0.2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</row>
    <row r="149" spans="2:28" x14ac:dyDescent="0.2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</row>
    <row r="150" spans="2:28" x14ac:dyDescent="0.2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</row>
    <row r="151" spans="2:28" x14ac:dyDescent="0.2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</row>
    <row r="152" spans="2:28" x14ac:dyDescent="0.2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</row>
    <row r="153" spans="2:28" x14ac:dyDescent="0.2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</row>
    <row r="154" spans="2:28" x14ac:dyDescent="0.2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</row>
    <row r="156" spans="2:28" ht="15.75" x14ac:dyDescent="0.25">
      <c r="B156" s="209" t="s">
        <v>152</v>
      </c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  <c r="AA156" s="195"/>
      <c r="AB156" s="195"/>
    </row>
    <row r="157" spans="2:28" x14ac:dyDescent="0.2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</row>
    <row r="158" spans="2:28" x14ac:dyDescent="0.2">
      <c r="B158" s="206" t="s">
        <v>53</v>
      </c>
      <c r="C158" s="121" t="s">
        <v>38</v>
      </c>
      <c r="D158" s="121" t="s">
        <v>95</v>
      </c>
      <c r="E158" s="121" t="s">
        <v>195</v>
      </c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</row>
    <row r="159" spans="2:28" x14ac:dyDescent="0.2">
      <c r="B159" s="214" t="str">
        <f>'Option inputs'!$C$15</f>
        <v>Option 1A</v>
      </c>
      <c r="C159" s="125">
        <f>Slow!F8/1000000</f>
        <v>23.488158532742986</v>
      </c>
      <c r="D159" s="125">
        <f>RANK(C159,$C$159:$C$164)</f>
        <v>1</v>
      </c>
      <c r="E159" s="192">
        <f>1-C159/$C$159</f>
        <v>0</v>
      </c>
      <c r="F159" s="161"/>
      <c r="G159" s="161"/>
      <c r="H159" s="161"/>
      <c r="I159" s="161"/>
      <c r="J159" s="149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</row>
    <row r="160" spans="2:28" x14ac:dyDescent="0.2">
      <c r="B160" s="214" t="str">
        <f>'Option inputs'!$C$16</f>
        <v>Option 1B</v>
      </c>
      <c r="C160" s="125">
        <f>Slow!F9/1000000</f>
        <v>-49.295436517669394</v>
      </c>
      <c r="D160" s="125">
        <f t="shared" ref="D160:D164" si="8">RANK(C160,$C$159:$C$164)</f>
        <v>3</v>
      </c>
      <c r="E160" s="192">
        <f t="shared" ref="E160:E164" si="9">1-C160/$C$159</f>
        <v>3.0987356862799831</v>
      </c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</row>
    <row r="161" spans="2:28" x14ac:dyDescent="0.2">
      <c r="B161" s="214" t="str">
        <f>'Option inputs'!$C$17</f>
        <v>Option 2</v>
      </c>
      <c r="C161" s="125">
        <f>Slow!F10/1000000</f>
        <v>-109.94882795587559</v>
      </c>
      <c r="D161" s="125">
        <f t="shared" si="8"/>
        <v>6</v>
      </c>
      <c r="E161" s="192">
        <f t="shared" si="9"/>
        <v>5.6810322657948946</v>
      </c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</row>
    <row r="162" spans="2:28" x14ac:dyDescent="0.2">
      <c r="B162" s="214" t="str">
        <f>'Option inputs'!$C$18</f>
        <v>Option 3</v>
      </c>
      <c r="C162" s="125">
        <f>Slow!F11/1000000</f>
        <v>-14.440635398150526</v>
      </c>
      <c r="D162" s="125">
        <f t="shared" si="8"/>
        <v>2</v>
      </c>
      <c r="E162" s="192">
        <f>1-C162/$C$159</f>
        <v>1.6148049187432032</v>
      </c>
      <c r="F162" s="161"/>
      <c r="G162" s="149"/>
      <c r="H162" s="175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</row>
    <row r="163" spans="2:28" x14ac:dyDescent="0.2">
      <c r="B163" s="214" t="str">
        <f>'Option inputs'!$C$19</f>
        <v>Option 4</v>
      </c>
      <c r="C163" s="125">
        <f>Slow!F12/1000000</f>
        <v>-83.726158194014999</v>
      </c>
      <c r="D163" s="125">
        <f t="shared" si="8"/>
        <v>5</v>
      </c>
      <c r="E163" s="192">
        <f t="shared" si="9"/>
        <v>4.5646114222747167</v>
      </c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</row>
    <row r="164" spans="2:28" x14ac:dyDescent="0.2">
      <c r="B164" s="214" t="str">
        <f>'Option inputs'!$C$20</f>
        <v>Option 5</v>
      </c>
      <c r="C164" s="125">
        <f>Slow!F13/1000000</f>
        <v>-51.362840593969906</v>
      </c>
      <c r="D164" s="125">
        <f t="shared" si="8"/>
        <v>4</v>
      </c>
      <c r="E164" s="192">
        <f t="shared" si="9"/>
        <v>3.1867546799111146</v>
      </c>
      <c r="F164" s="161"/>
      <c r="G164" s="126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</row>
    <row r="165" spans="2:28" x14ac:dyDescent="0.2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</row>
    <row r="166" spans="2:28" x14ac:dyDescent="0.2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</row>
    <row r="167" spans="2:28" x14ac:dyDescent="0.2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</row>
    <row r="168" spans="2:28" x14ac:dyDescent="0.2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</row>
    <row r="169" spans="2:28" x14ac:dyDescent="0.2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</row>
    <row r="170" spans="2:28" x14ac:dyDescent="0.2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</row>
    <row r="171" spans="2:28" x14ac:dyDescent="0.2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</row>
    <row r="172" spans="2:28" x14ac:dyDescent="0.2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</row>
    <row r="173" spans="2:28" x14ac:dyDescent="0.2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</row>
    <row r="174" spans="2:28" x14ac:dyDescent="0.2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</row>
    <row r="175" spans="2:28" x14ac:dyDescent="0.2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</row>
    <row r="176" spans="2:28" x14ac:dyDescent="0.2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</row>
    <row r="177" spans="2:28" x14ac:dyDescent="0.2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</row>
    <row r="178" spans="2:28" x14ac:dyDescent="0.2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</row>
    <row r="179" spans="2:28" x14ac:dyDescent="0.2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</row>
    <row r="180" spans="2:28" x14ac:dyDescent="0.2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</row>
    <row r="181" spans="2:28" x14ac:dyDescent="0.2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</row>
    <row r="182" spans="2:28" x14ac:dyDescent="0.2">
      <c r="B182" s="206" t="s">
        <v>53</v>
      </c>
      <c r="C182" s="121" t="s">
        <v>38</v>
      </c>
      <c r="D182" s="121" t="str">
        <f>D36</f>
        <v>Transmission capex</v>
      </c>
      <c r="E182" s="121" t="str">
        <f t="shared" ref="E182:J182" si="10">E36</f>
        <v>Transmission opex</v>
      </c>
      <c r="F182" s="121" t="str">
        <f t="shared" si="10"/>
        <v>Avoided unserved energy</v>
      </c>
      <c r="G182" s="121" t="str">
        <f t="shared" si="10"/>
        <v>Avoided transmission capex</v>
      </c>
      <c r="H182" s="121" t="str">
        <f t="shared" si="10"/>
        <v>Avoided fuel costs</v>
      </c>
      <c r="I182" s="121" t="str">
        <f t="shared" si="10"/>
        <v>Avoided voluntary load curtailment</v>
      </c>
      <c r="J182" s="121" t="str">
        <f t="shared" si="10"/>
        <v>Avoided generation/storage costs</v>
      </c>
      <c r="K182" s="121" t="s">
        <v>207</v>
      </c>
      <c r="L182" s="121" t="s">
        <v>208</v>
      </c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</row>
    <row r="183" spans="2:28" x14ac:dyDescent="0.2">
      <c r="B183" s="214" t="str">
        <f>'Option inputs'!$C$15</f>
        <v>Option 1A</v>
      </c>
      <c r="C183" s="198">
        <f>Slow!F8/1000000</f>
        <v>23.488158532742986</v>
      </c>
      <c r="D183" s="198">
        <f>Slow!F58/1000000</f>
        <v>-146.82486483058929</v>
      </c>
      <c r="E183" s="198">
        <f>Slow!F67/1000000</f>
        <v>-20.378268720397383</v>
      </c>
      <c r="F183" s="198">
        <f>Slow!F87/1000000</f>
        <v>-19.856251963678076</v>
      </c>
      <c r="G183" s="198">
        <f>Slow!F96/1000000</f>
        <v>8.0386125118296921</v>
      </c>
      <c r="H183" s="198">
        <f>Slow!F105/1000000</f>
        <v>134.22286137765525</v>
      </c>
      <c r="I183" s="198">
        <f>Slow!F114/1000000</f>
        <v>0.41752328273750289</v>
      </c>
      <c r="J183" s="198">
        <f>Slow!F123/1000000</f>
        <v>67.868546875185359</v>
      </c>
      <c r="K183" s="198">
        <f>Slow!F132/1000000</f>
        <v>0</v>
      </c>
      <c r="L183" s="198">
        <f>Slow!F141/1000000</f>
        <v>0</v>
      </c>
      <c r="M183" s="149"/>
      <c r="N183" s="149"/>
      <c r="O183" s="132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</row>
    <row r="184" spans="2:28" x14ac:dyDescent="0.2">
      <c r="B184" s="214" t="str">
        <f>'Option inputs'!$C$16</f>
        <v>Option 1B</v>
      </c>
      <c r="C184" s="198">
        <f>Slow!F9/1000000</f>
        <v>-49.295436517669394</v>
      </c>
      <c r="D184" s="198">
        <f>Slow!F59/1000000</f>
        <v>-210.72314840101808</v>
      </c>
      <c r="E184" s="198">
        <f>Slow!F68/1000000</f>
        <v>-29.263580200381078</v>
      </c>
      <c r="F184" s="198">
        <f>Slow!F88/1000000</f>
        <v>-19.856251963678076</v>
      </c>
      <c r="G184" s="198">
        <f>Slow!F97/1000000</f>
        <v>8.0386125118296921</v>
      </c>
      <c r="H184" s="198">
        <f>Slow!F106/1000000</f>
        <v>134.22286137765525</v>
      </c>
      <c r="I184" s="198">
        <f>Slow!F115/1000000</f>
        <v>0.41752328273750289</v>
      </c>
      <c r="J184" s="198">
        <f>Slow!F124/1000000</f>
        <v>67.868546875185359</v>
      </c>
      <c r="K184" s="198">
        <f>Slow!F133/1000000</f>
        <v>0</v>
      </c>
      <c r="L184" s="198">
        <f>Slow!F142/1000000</f>
        <v>0</v>
      </c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</row>
    <row r="185" spans="2:28" x14ac:dyDescent="0.2">
      <c r="B185" s="214" t="str">
        <f>'Option inputs'!$C$17</f>
        <v>Option 2</v>
      </c>
      <c r="C185" s="198">
        <f>Slow!F10/1000000</f>
        <v>-109.94882795587559</v>
      </c>
      <c r="D185" s="198">
        <f>Slow!F60/1000000</f>
        <v>-273.20917512823519</v>
      </c>
      <c r="E185" s="198">
        <f>Slow!F69/1000000</f>
        <v>-37.955732735147741</v>
      </c>
      <c r="F185" s="198">
        <f>Slow!F89/1000000</f>
        <v>-20.100781827335087</v>
      </c>
      <c r="G185" s="198">
        <f>Slow!F98/1000000</f>
        <v>8.3265695652338021</v>
      </c>
      <c r="H185" s="198">
        <f>Slow!F107/1000000</f>
        <v>141.32453798773795</v>
      </c>
      <c r="I185" s="198">
        <f>Slow!F116/1000000</f>
        <v>0.38381007894850594</v>
      </c>
      <c r="J185" s="198">
        <f>Slow!F125/1000000</f>
        <v>71.281944102922097</v>
      </c>
      <c r="K185" s="198">
        <f>Slow!F134/1000000</f>
        <v>0</v>
      </c>
      <c r="L185" s="198">
        <f>Slow!F143/1000000</f>
        <v>0</v>
      </c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</row>
    <row r="186" spans="2:28" x14ac:dyDescent="0.2">
      <c r="B186" s="214" t="str">
        <f>'Option inputs'!$C$18</f>
        <v>Option 3</v>
      </c>
      <c r="C186" s="198">
        <f>Slow!F11/1000000</f>
        <v>-14.440635398150526</v>
      </c>
      <c r="D186" s="198">
        <f>Slow!F61/1000000</f>
        <v>-37.359125191602097</v>
      </c>
      <c r="E186" s="198">
        <f>Slow!F70/1000000</f>
        <v>-5.2265185098549329</v>
      </c>
      <c r="F186" s="198">
        <f>Slow!F90/1000000</f>
        <v>-12.208232654280009</v>
      </c>
      <c r="G186" s="198">
        <f>Slow!F99/1000000</f>
        <v>1.0296593231873554</v>
      </c>
      <c r="H186" s="198">
        <f>Slow!F108/1000000</f>
        <v>10.68341790739238</v>
      </c>
      <c r="I186" s="198">
        <f>Slow!F117/1000000</f>
        <v>-8.9900262532394526E-2</v>
      </c>
      <c r="J186" s="198">
        <f>Slow!F126/1000000</f>
        <v>28.730063989539183</v>
      </c>
      <c r="K186" s="198">
        <f>Slow!F135/1000000</f>
        <v>0</v>
      </c>
      <c r="L186" s="198">
        <f>Slow!F144/1000000</f>
        <v>0</v>
      </c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</row>
    <row r="187" spans="2:28" x14ac:dyDescent="0.2">
      <c r="B187" s="214" t="str">
        <f>'Option inputs'!$C$19</f>
        <v>Option 4</v>
      </c>
      <c r="C187" s="198">
        <f>Slow!F12/1000000</f>
        <v>-83.726158194014999</v>
      </c>
      <c r="D187" s="266" t="s">
        <v>240</v>
      </c>
      <c r="E187" s="251"/>
      <c r="F187" s="251"/>
      <c r="G187" s="251"/>
      <c r="H187" s="251"/>
      <c r="I187" s="251"/>
      <c r="J187" s="251"/>
      <c r="K187" s="251"/>
      <c r="L187" s="252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</row>
    <row r="188" spans="2:28" x14ac:dyDescent="0.2">
      <c r="B188" s="214" t="str">
        <f>'Option inputs'!$C$20</f>
        <v>Option 5</v>
      </c>
      <c r="C188" s="198">
        <f>Slow!F13/1000000</f>
        <v>-51.362840593969906</v>
      </c>
      <c r="D188" s="267" t="s">
        <v>240</v>
      </c>
      <c r="E188" s="253"/>
      <c r="F188" s="253"/>
      <c r="G188" s="253"/>
      <c r="H188" s="253"/>
      <c r="I188" s="253"/>
      <c r="J188" s="253"/>
      <c r="K188" s="253"/>
      <c r="L188" s="254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</row>
    <row r="189" spans="2:28" x14ac:dyDescent="0.2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</row>
    <row r="190" spans="2:28" x14ac:dyDescent="0.2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</row>
    <row r="191" spans="2:28" x14ac:dyDescent="0.2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</row>
    <row r="192" spans="2:28" x14ac:dyDescent="0.2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</row>
    <row r="193" spans="1:28" x14ac:dyDescent="0.2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</row>
    <row r="194" spans="1:28" x14ac:dyDescent="0.2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</row>
    <row r="195" spans="1:28" x14ac:dyDescent="0.2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</row>
    <row r="196" spans="1:28" x14ac:dyDescent="0.2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</row>
    <row r="197" spans="1:28" x14ac:dyDescent="0.2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</row>
    <row r="198" spans="1:28" x14ac:dyDescent="0.2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</row>
    <row r="199" spans="1:28" x14ac:dyDescent="0.2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</row>
    <row r="200" spans="1:28" x14ac:dyDescent="0.2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</row>
    <row r="201" spans="1:28" x14ac:dyDescent="0.2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</row>
    <row r="202" spans="1:28" x14ac:dyDescent="0.2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</row>
    <row r="203" spans="1:28" x14ac:dyDescent="0.2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</row>
    <row r="204" spans="1:28" x14ac:dyDescent="0.2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</row>
    <row r="205" spans="1:28" x14ac:dyDescent="0.2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</row>
    <row r="206" spans="1:28" x14ac:dyDescent="0.2">
      <c r="A206" s="161"/>
      <c r="B206" s="206" t="str">
        <f>INDEX($B$159:$B$164,MATCH(1,$D$159:$D$164,0))</f>
        <v>Option 1A</v>
      </c>
      <c r="C206" s="121" t="str">
        <f>C60</f>
        <v>2020-21</v>
      </c>
      <c r="D206" s="121" t="str">
        <f t="shared" ref="D206:AB206" si="11">D60</f>
        <v>2021-22</v>
      </c>
      <c r="E206" s="121" t="str">
        <f t="shared" si="11"/>
        <v>2022-23</v>
      </c>
      <c r="F206" s="121" t="str">
        <f t="shared" si="11"/>
        <v>2023-24</v>
      </c>
      <c r="G206" s="121" t="str">
        <f t="shared" si="11"/>
        <v>2024-25</v>
      </c>
      <c r="H206" s="121" t="str">
        <f t="shared" si="11"/>
        <v>2025-26</v>
      </c>
      <c r="I206" s="121" t="str">
        <f t="shared" si="11"/>
        <v>2026-27</v>
      </c>
      <c r="J206" s="121" t="str">
        <f t="shared" si="11"/>
        <v>2027-28</v>
      </c>
      <c r="K206" s="121" t="str">
        <f t="shared" si="11"/>
        <v>2028-29</v>
      </c>
      <c r="L206" s="121" t="str">
        <f t="shared" si="11"/>
        <v>2029-30</v>
      </c>
      <c r="M206" s="121" t="str">
        <f t="shared" si="11"/>
        <v>2030-31</v>
      </c>
      <c r="N206" s="121" t="str">
        <f t="shared" si="11"/>
        <v>2031-32</v>
      </c>
      <c r="O206" s="121" t="str">
        <f t="shared" si="11"/>
        <v>2032-33</v>
      </c>
      <c r="P206" s="121" t="str">
        <f t="shared" si="11"/>
        <v>2033-34</v>
      </c>
      <c r="Q206" s="121" t="str">
        <f t="shared" si="11"/>
        <v>2034-35</v>
      </c>
      <c r="R206" s="121" t="str">
        <f t="shared" si="11"/>
        <v>2035-36</v>
      </c>
      <c r="S206" s="121" t="str">
        <f t="shared" si="11"/>
        <v>2036-37</v>
      </c>
      <c r="T206" s="121" t="str">
        <f t="shared" si="11"/>
        <v>2037-38</v>
      </c>
      <c r="U206" s="121" t="str">
        <f t="shared" si="11"/>
        <v>2038-39</v>
      </c>
      <c r="V206" s="121" t="str">
        <f t="shared" si="11"/>
        <v>2039-40</v>
      </c>
      <c r="W206" s="121" t="str">
        <f t="shared" si="11"/>
        <v>2040-41</v>
      </c>
      <c r="X206" s="121" t="str">
        <f t="shared" si="11"/>
        <v>2041-42</v>
      </c>
      <c r="Y206" s="121" t="str">
        <f t="shared" si="11"/>
        <v>2042-43</v>
      </c>
      <c r="Z206" s="121" t="str">
        <f t="shared" si="11"/>
        <v>2043-44</v>
      </c>
      <c r="AA206" s="121" t="str">
        <f t="shared" si="11"/>
        <v>2044-45</v>
      </c>
      <c r="AB206" s="121" t="str">
        <f t="shared" si="11"/>
        <v>2045-46</v>
      </c>
    </row>
    <row r="207" spans="1:28" x14ac:dyDescent="0.2">
      <c r="A207" s="161"/>
      <c r="B207" s="214" t="s">
        <v>181</v>
      </c>
      <c r="C207" s="215">
        <f>INDEX(Slow!$G$87:$AF$92,MATCH('Chart tables'!$B$60,Slow!$C$87:$C$92,0),MATCH('Chart tables'!C$60,Slow!$G$38:$AF$38,0))*C$7</f>
        <v>0</v>
      </c>
      <c r="D207" s="125">
        <f>INDEX(Slow!$G$87:$AF$92,MATCH('Chart tables'!$B$206,Slow!$C$87:$C$92,0),MATCH('Chart tables'!D$60,Slow!$G$38:$AF$38,0))*D$7+C207</f>
        <v>-51.804689586162567</v>
      </c>
      <c r="E207" s="125">
        <f>INDEX(Slow!$G$87:$AF$92,MATCH('Chart tables'!$B$206,Slow!$C$87:$C$92,0),MATCH('Chart tables'!E$60,Slow!$G$38:$AF$38,0))*E$7+D207</f>
        <v>-32.258505581199302</v>
      </c>
      <c r="F207" s="125">
        <f>INDEX(Slow!$G$87:$AF$92,MATCH('Chart tables'!$B$206,Slow!$C$87:$C$92,0),MATCH('Chart tables'!F$60,Slow!$G$38:$AF$38,0))*F$7+E207</f>
        <v>-9366318.8616446834</v>
      </c>
      <c r="G207" s="125">
        <f>INDEX(Slow!$G$87:$AF$92,MATCH('Chart tables'!$B$206,Slow!$C$87:$C$92,0),MATCH('Chart tables'!G$60,Slow!$G$38:$AF$38,0))*G$7+F207</f>
        <v>-28764882.175841153</v>
      </c>
      <c r="H207" s="125">
        <f>INDEX(Slow!$G$87:$AF$92,MATCH('Chart tables'!$B$206,Slow!$C$87:$C$92,0),MATCH('Chart tables'!H$60,Slow!$G$38:$AF$38,0))*H$7+G207</f>
        <v>-28764858.919983506</v>
      </c>
      <c r="I207" s="125">
        <f>INDEX(Slow!$G$87:$AF$92,MATCH('Chart tables'!$B$206,Slow!$C$87:$C$92,0),MATCH('Chart tables'!I$60,Slow!$G$38:$AF$38,0))*I$7+H207</f>
        <v>-29993655.566680554</v>
      </c>
      <c r="J207" s="125">
        <f>INDEX(Slow!$G$87:$AF$92,MATCH('Chart tables'!$B$206,Slow!$C$87:$C$92,0),MATCH('Chart tables'!J$60,Slow!$G$38:$AF$38,0))*J$7+I207</f>
        <v>-29993629.339068238</v>
      </c>
      <c r="K207" s="125">
        <f>INDEX(Slow!$G$87:$AF$92,MATCH('Chart tables'!$B$206,Slow!$C$87:$C$92,0),MATCH('Chart tables'!K$60,Slow!$G$38:$AF$38,0))*K$7+J207</f>
        <v>-29993601.623299986</v>
      </c>
      <c r="L207" s="125">
        <f>INDEX(Slow!$G$87:$AF$92,MATCH('Chart tables'!$B$206,Slow!$C$87:$C$92,0),MATCH('Chart tables'!L$60,Slow!$G$38:$AF$38,0))*L$7+K207</f>
        <v>-29993572.185854968</v>
      </c>
      <c r="M207" s="125">
        <f>INDEX(Slow!$G$87:$AF$92,MATCH('Chart tables'!$B$206,Slow!$C$87:$C$92,0),MATCH('Chart tables'!M$60,Slow!$G$38:$AF$38,0))*M$7+L207</f>
        <v>-29993540.954738326</v>
      </c>
      <c r="N207" s="125">
        <f>INDEX(Slow!$G$87:$AF$92,MATCH('Chart tables'!$B$206,Slow!$C$87:$C$92,0),MATCH('Chart tables'!N$60,Slow!$G$38:$AF$38,0))*N$7+M207</f>
        <v>-29993507.733515523</v>
      </c>
      <c r="O207" s="125">
        <f>INDEX(Slow!$G$87:$AF$92,MATCH('Chart tables'!$B$206,Slow!$C$87:$C$92,0),MATCH('Chart tables'!O$60,Slow!$G$38:$AF$38,0))*O$7+N207</f>
        <v>-29993472.632762738</v>
      </c>
      <c r="P207" s="125">
        <f>INDEX(Slow!$G$87:$AF$92,MATCH('Chart tables'!$B$206,Slow!$C$87:$C$92,0),MATCH('Chart tables'!P$60,Slow!$G$38:$AF$38,0))*P$7+O207</f>
        <v>-29993435.419154201</v>
      </c>
      <c r="Q207" s="125">
        <f>INDEX(Slow!$G$87:$AF$92,MATCH('Chart tables'!$B$206,Slow!$C$87:$C$92,0),MATCH('Chart tables'!Q$60,Slow!$G$38:$AF$38,0))*Q$7+P207</f>
        <v>-29993395.963373002</v>
      </c>
      <c r="R207" s="125">
        <f>INDEX(Slow!$G$87:$AF$92,MATCH('Chart tables'!$B$206,Slow!$C$87:$C$92,0),MATCH('Chart tables'!R$60,Slow!$G$38:$AF$38,0))*R$7+Q207</f>
        <v>-27063607.277968749</v>
      </c>
      <c r="S207" s="125">
        <f>INDEX(Slow!$G$87:$AF$92,MATCH('Chart tables'!$B$206,Slow!$C$87:$C$92,0),MATCH('Chart tables'!S$60,Slow!$G$38:$AF$38,0))*S$7+R207</f>
        <v>-27063901.763266277</v>
      </c>
      <c r="T207" s="125">
        <f>INDEX(Slow!$G$87:$AF$92,MATCH('Chart tables'!$B$206,Slow!$C$87:$C$92,0),MATCH('Chart tables'!T$60,Slow!$G$38:$AF$38,0))*T$7+S207</f>
        <v>-27511212.176999781</v>
      </c>
      <c r="U207" s="125">
        <f>INDEX(Slow!$G$87:$AF$92,MATCH('Chart tables'!$B$206,Slow!$C$87:$C$92,0),MATCH('Chart tables'!U$60,Slow!$G$38:$AF$38,0))*U$7+T207</f>
        <v>-27511158.973420031</v>
      </c>
      <c r="V207" s="125">
        <f>INDEX(Slow!$G$87:$AF$92,MATCH('Chart tables'!$B$206,Slow!$C$87:$C$92,0),MATCH('Chart tables'!V$60,Slow!$G$38:$AF$38,0))*V$7+U207</f>
        <v>-25836330.069430042</v>
      </c>
      <c r="W207" s="125">
        <f>INDEX(Slow!$G$87:$AF$92,MATCH('Chart tables'!$B$206,Slow!$C$87:$C$92,0),MATCH('Chart tables'!W$60,Slow!$G$38:$AF$38,0))*W$7+V207</f>
        <v>-23809209.473138452</v>
      </c>
      <c r="X207" s="125">
        <f>INDEX(Slow!$G$87:$AF$92,MATCH('Chart tables'!$B$206,Slow!$C$87:$C$92,0),MATCH('Chart tables'!X$60,Slow!$G$38:$AF$38,0))*X$7+W207</f>
        <v>-26623270.03918663</v>
      </c>
      <c r="Y207" s="125">
        <f>INDEX(Slow!$G$87:$AF$92,MATCH('Chart tables'!$B$206,Slow!$C$87:$C$92,0),MATCH('Chart tables'!Y$60,Slow!$G$38:$AF$38,0))*Y$7+X207</f>
        <v>-25188652.01786571</v>
      </c>
      <c r="Z207" s="125">
        <f>INDEX(Slow!$G$87:$AF$92,MATCH('Chart tables'!$B$206,Slow!$C$87:$C$92,0),MATCH('Chart tables'!Z$60,Slow!$G$38:$AF$38,0))*Z$7+Y207</f>
        <v>-25043561.38136014</v>
      </c>
      <c r="AA207" s="125">
        <f>INDEX(Slow!$G$87:$AF$92,MATCH('Chart tables'!$B$206,Slow!$C$87:$C$92,0),MATCH('Chart tables'!AA$60,Slow!$G$38:$AF$38,0))*AA$7+Z207</f>
        <v>-19851065.265183952</v>
      </c>
      <c r="AB207" s="125">
        <f>INDEX(Slow!$G$87:$AF$92,MATCH('Chart tables'!$B$206,Slow!$C$87:$C$92,0),MATCH('Chart tables'!AB$60,Slow!$G$38:$AF$38,0))*AB$7+AA207</f>
        <v>-20011107.395918109</v>
      </c>
    </row>
    <row r="208" spans="1:28" x14ac:dyDescent="0.2">
      <c r="A208" s="161"/>
      <c r="B208" s="214" t="s">
        <v>185</v>
      </c>
      <c r="C208" s="215">
        <f>INDEX(Slow!$G$96:$AF$101,MATCH('Chart tables'!$B$60,Slow!$C$96:$C$101,0),MATCH('Chart tables'!C$60,Slow!$G$38:$AF$38,0))*C$7</f>
        <v>0</v>
      </c>
      <c r="D208" s="125">
        <f>INDEX(Slow!$G$96:$AF$101,MATCH('Chart tables'!$B$206,Slow!$C$96:$C$101,0),MATCH('Chart tables'!D$60,Slow!$G$38:$AF$38,0))*D$7+C208</f>
        <v>9.7341358440448857</v>
      </c>
      <c r="E208" s="125">
        <f>INDEX(Slow!$G$96:$AF$101,MATCH('Chart tables'!$B$206,Slow!$C$96:$C$101,0),MATCH('Chart tables'!E$60,Slow!$G$38:$AF$38,0))*E$7+D208</f>
        <v>130.76586077696425</v>
      </c>
      <c r="F208" s="125">
        <f>INDEX(Slow!$G$96:$AF$101,MATCH('Chart tables'!$B$206,Slow!$C$96:$C$101,0),MATCH('Chart tables'!F$60,Slow!$G$38:$AF$38,0))*F$7+E208</f>
        <v>169.81942556351697</v>
      </c>
      <c r="G208" s="125">
        <f>INDEX(Slow!$G$96:$AF$101,MATCH('Chart tables'!$B$206,Slow!$C$96:$C$101,0),MATCH('Chart tables'!G$60,Slow!$G$38:$AF$38,0))*G$7+F208</f>
        <v>145.95481030671647</v>
      </c>
      <c r="H208" s="125">
        <f>INDEX(Slow!$G$96:$AF$101,MATCH('Chart tables'!$B$206,Slow!$C$96:$C$101,0),MATCH('Chart tables'!H$60,Slow!$G$38:$AF$38,0))*H$7+G208</f>
        <v>128.18947750281876</v>
      </c>
      <c r="I208" s="125">
        <f>INDEX(Slow!$G$96:$AF$101,MATCH('Chart tables'!$B$206,Slow!$C$96:$C$101,0),MATCH('Chart tables'!I$60,Slow!$G$38:$AF$38,0))*I$7+H208</f>
        <v>118.53007051363201</v>
      </c>
      <c r="J208" s="125">
        <f>INDEX(Slow!$G$96:$AF$101,MATCH('Chart tables'!$B$206,Slow!$C$96:$C$101,0),MATCH('Chart tables'!J$60,Slow!$G$38:$AF$38,0))*J$7+I208</f>
        <v>131.59054740149827</v>
      </c>
      <c r="K208" s="125">
        <f>INDEX(Slow!$G$96:$AF$101,MATCH('Chart tables'!$B$206,Slow!$C$96:$C$101,0),MATCH('Chart tables'!K$60,Slow!$G$38:$AF$38,0))*K$7+J208</f>
        <v>-45974.401976268695</v>
      </c>
      <c r="L208" s="125">
        <f>INDEX(Slow!$G$96:$AF$101,MATCH('Chart tables'!$B$206,Slow!$C$96:$C$101,0),MATCH('Chart tables'!L$60,Slow!$G$38:$AF$38,0))*L$7+K208</f>
        <v>-45965.580789467167</v>
      </c>
      <c r="M208" s="125">
        <f>INDEX(Slow!$G$96:$AF$101,MATCH('Chart tables'!$B$206,Slow!$C$96:$C$101,0),MATCH('Chart tables'!M$60,Slow!$G$38:$AF$38,0))*M$7+L208</f>
        <v>-45987.048263314435</v>
      </c>
      <c r="N208" s="125">
        <f>INDEX(Slow!$G$96:$AF$101,MATCH('Chart tables'!$B$206,Slow!$C$96:$C$101,0),MATCH('Chart tables'!N$60,Slow!$G$38:$AF$38,0))*N$7+M208</f>
        <v>-46002.574326350717</v>
      </c>
      <c r="O208" s="125">
        <f>INDEX(Slow!$G$96:$AF$101,MATCH('Chart tables'!$B$206,Slow!$C$96:$C$101,0),MATCH('Chart tables'!O$60,Slow!$G$38:$AF$38,0))*O$7+N208</f>
        <v>-45978.471698651178</v>
      </c>
      <c r="P208" s="125">
        <f>INDEX(Slow!$G$96:$AF$101,MATCH('Chart tables'!$B$206,Slow!$C$96:$C$101,0),MATCH('Chart tables'!P$60,Slow!$G$38:$AF$38,0))*P$7+O208</f>
        <v>-45971.139014937384</v>
      </c>
      <c r="Q208" s="125">
        <f>INDEX(Slow!$G$96:$AF$101,MATCH('Chart tables'!$B$206,Slow!$C$96:$C$101,0),MATCH('Chart tables'!Q$60,Slow!$G$38:$AF$38,0))*Q$7+P208</f>
        <v>-45986.527891370599</v>
      </c>
      <c r="R208" s="125">
        <f>INDEX(Slow!$G$96:$AF$101,MATCH('Chart tables'!$B$206,Slow!$C$96:$C$101,0),MATCH('Chart tables'!R$60,Slow!$G$38:$AF$38,0))*R$7+Q208</f>
        <v>-45890.245813501424</v>
      </c>
      <c r="S208" s="125">
        <f>INDEX(Slow!$G$96:$AF$101,MATCH('Chart tables'!$B$206,Slow!$C$96:$C$101,0),MATCH('Chart tables'!S$60,Slow!$G$38:$AF$38,0))*S$7+R208</f>
        <v>-45853.62112941029</v>
      </c>
      <c r="T208" s="125">
        <f>INDEX(Slow!$G$96:$AF$101,MATCH('Chart tables'!$B$206,Slow!$C$96:$C$101,0),MATCH('Chart tables'!T$60,Slow!$G$38:$AF$38,0))*T$7+S208</f>
        <v>27809534.214131787</v>
      </c>
      <c r="U208" s="125">
        <f>INDEX(Slow!$G$96:$AF$101,MATCH('Chart tables'!$B$206,Slow!$C$96:$C$101,0),MATCH('Chart tables'!U$60,Slow!$G$38:$AF$38,0))*U$7+T208</f>
        <v>27809765.795641482</v>
      </c>
      <c r="V208" s="125">
        <f>INDEX(Slow!$G$96:$AF$101,MATCH('Chart tables'!$B$206,Slow!$C$96:$C$101,0),MATCH('Chart tables'!V$60,Slow!$G$38:$AF$38,0))*V$7+U208</f>
        <v>27809783.203178883</v>
      </c>
      <c r="W208" s="125">
        <f>INDEX(Slow!$G$96:$AF$101,MATCH('Chart tables'!$B$206,Slow!$C$96:$C$101,0),MATCH('Chart tables'!W$60,Slow!$G$38:$AF$38,0))*W$7+V208</f>
        <v>45810165.30461283</v>
      </c>
      <c r="X208" s="125">
        <f>INDEX(Slow!$G$96:$AF$101,MATCH('Chart tables'!$B$206,Slow!$C$96:$C$101,0),MATCH('Chart tables'!X$60,Slow!$G$38:$AF$38,0))*X$7+W208</f>
        <v>39662763.974117443</v>
      </c>
      <c r="Y208" s="125">
        <f>INDEX(Slow!$G$96:$AF$101,MATCH('Chart tables'!$B$206,Slow!$C$96:$C$101,0),MATCH('Chart tables'!Y$60,Slow!$G$38:$AF$38,0))*Y$7+X208</f>
        <v>28370145.057595715</v>
      </c>
      <c r="Z208" s="125">
        <f>INDEX(Slow!$G$96:$AF$101,MATCH('Chart tables'!$B$206,Slow!$C$96:$C$101,0),MATCH('Chart tables'!Z$60,Slow!$G$38:$AF$38,0))*Z$7+Y208</f>
        <v>22211759.306926183</v>
      </c>
      <c r="AA208" s="125">
        <f>INDEX(Slow!$G$96:$AF$101,MATCH('Chart tables'!$B$206,Slow!$C$96:$C$101,0),MATCH('Chart tables'!AA$60,Slow!$G$38:$AF$38,0))*AA$7+Z208</f>
        <v>21550089.510969147</v>
      </c>
      <c r="AB208" s="125">
        <f>INDEX(Slow!$G$96:$AF$101,MATCH('Chart tables'!$B$206,Slow!$C$96:$C$101,0),MATCH('Chart tables'!AB$60,Slow!$G$38:$AF$38,0))*AB$7+AA208</f>
        <v>18067538.181451902</v>
      </c>
    </row>
    <row r="209" spans="1:31" x14ac:dyDescent="0.2">
      <c r="A209" s="161"/>
      <c r="B209" s="214" t="s">
        <v>182</v>
      </c>
      <c r="C209" s="215">
        <f>INDEX(Slow!$G$105:$AF$110,MATCH('Chart tables'!$B$60,Slow!$C$105:$C$110,0),MATCH('Chart tables'!C$60,Slow!$G$38:$AF$38,0))*C$7</f>
        <v>0</v>
      </c>
      <c r="D209" s="125">
        <f>INDEX(Slow!$G$105:$AF$110,MATCH('Chart tables'!$B$206,Slow!$C$105:$C$110,0),MATCH('Chart tables'!D$60,Slow!$G$38:$AF$38,0))*D$7+C209</f>
        <v>726.41882944107056</v>
      </c>
      <c r="E209" s="125">
        <f>INDEX(Slow!$G$105:$AF$110,MATCH('Chart tables'!$B$206,Slow!$C$105:$C$110,0),MATCH('Chart tables'!E$60,Slow!$G$38:$AF$38,0))*E$7+D209</f>
        <v>1403.6231331825256</v>
      </c>
      <c r="F209" s="125">
        <f>INDEX(Slow!$G$105:$AF$110,MATCH('Chart tables'!$B$206,Slow!$C$105:$C$110,0),MATCH('Chart tables'!F$60,Slow!$G$38:$AF$38,0))*F$7+E209</f>
        <v>-3352894.4766249657</v>
      </c>
      <c r="G209" s="125">
        <f>INDEX(Slow!$G$105:$AF$110,MATCH('Chart tables'!$B$206,Slow!$C$105:$C$110,0),MATCH('Chart tables'!G$60,Slow!$G$38:$AF$38,0))*G$7+F209</f>
        <v>2445416.5197739601</v>
      </c>
      <c r="H209" s="125">
        <f>INDEX(Slow!$G$105:$AF$110,MATCH('Chart tables'!$B$206,Slow!$C$105:$C$110,0),MATCH('Chart tables'!H$60,Slow!$G$38:$AF$38,0))*H$7+G209</f>
        <v>15696582.368878365</v>
      </c>
      <c r="I209" s="125">
        <f>INDEX(Slow!$G$105:$AF$110,MATCH('Chart tables'!$B$206,Slow!$C$105:$C$110,0),MATCH('Chart tables'!I$60,Slow!$G$38:$AF$38,0))*I$7+H209</f>
        <v>36643708.50226903</v>
      </c>
      <c r="J209" s="125">
        <f>INDEX(Slow!$G$105:$AF$110,MATCH('Chart tables'!$B$206,Slow!$C$105:$C$110,0),MATCH('Chart tables'!J$60,Slow!$G$38:$AF$38,0))*J$7+I209</f>
        <v>57304750.575909138</v>
      </c>
      <c r="K209" s="125">
        <f>INDEX(Slow!$G$105:$AF$110,MATCH('Chart tables'!$B$206,Slow!$C$105:$C$110,0),MATCH('Chart tables'!K$60,Slow!$G$38:$AF$38,0))*K$7+J209</f>
        <v>80960331.182659626</v>
      </c>
      <c r="L209" s="125">
        <f>INDEX(Slow!$G$105:$AF$110,MATCH('Chart tables'!$B$206,Slow!$C$105:$C$110,0),MATCH('Chart tables'!L$60,Slow!$G$38:$AF$38,0))*L$7+K209</f>
        <v>97917013.815588474</v>
      </c>
      <c r="M209" s="125">
        <f>INDEX(Slow!$G$105:$AF$110,MATCH('Chart tables'!$B$206,Slow!$C$105:$C$110,0),MATCH('Chart tables'!M$60,Slow!$G$38:$AF$38,0))*M$7+L209</f>
        <v>116353974.17345715</v>
      </c>
      <c r="N209" s="125">
        <f>INDEX(Slow!$G$105:$AF$110,MATCH('Chart tables'!$B$206,Slow!$C$105:$C$110,0),MATCH('Chart tables'!N$60,Slow!$G$38:$AF$38,0))*N$7+M209</f>
        <v>138699052.51608491</v>
      </c>
      <c r="O209" s="125">
        <f>INDEX(Slow!$G$105:$AF$110,MATCH('Chart tables'!$B$206,Slow!$C$105:$C$110,0),MATCH('Chart tables'!O$60,Slow!$G$38:$AF$38,0))*O$7+N209</f>
        <v>161253177.1921618</v>
      </c>
      <c r="P209" s="125">
        <f>INDEX(Slow!$G$105:$AF$110,MATCH('Chart tables'!$B$206,Slow!$C$105:$C$110,0),MATCH('Chart tables'!P$60,Slow!$G$38:$AF$38,0))*P$7+O209</f>
        <v>182330323.89247179</v>
      </c>
      <c r="Q209" s="125">
        <f>INDEX(Slow!$G$105:$AF$110,MATCH('Chart tables'!$B$206,Slow!$C$105:$C$110,0),MATCH('Chart tables'!Q$60,Slow!$G$38:$AF$38,0))*Q$7+P209</f>
        <v>202359482.28210521</v>
      </c>
      <c r="R209" s="125">
        <f>INDEX(Slow!$G$105:$AF$110,MATCH('Chart tables'!$B$206,Slow!$C$105:$C$110,0),MATCH('Chart tables'!R$60,Slow!$G$38:$AF$38,0))*R$7+Q209</f>
        <v>213397419.18674469</v>
      </c>
      <c r="S209" s="125">
        <f>INDEX(Slow!$G$105:$AF$110,MATCH('Chart tables'!$B$206,Slow!$C$105:$C$110,0),MATCH('Chart tables'!S$60,Slow!$G$38:$AF$38,0))*S$7+R209</f>
        <v>227580499.48483348</v>
      </c>
      <c r="T209" s="125">
        <f>INDEX(Slow!$G$105:$AF$110,MATCH('Chart tables'!$B$206,Slow!$C$105:$C$110,0),MATCH('Chart tables'!T$60,Slow!$G$38:$AF$38,0))*T$7+S209</f>
        <v>233682039.28806353</v>
      </c>
      <c r="U209" s="125">
        <f>INDEX(Slow!$G$105:$AF$110,MATCH('Chart tables'!$B$206,Slow!$C$105:$C$110,0),MATCH('Chart tables'!U$60,Slow!$G$38:$AF$38,0))*U$7+T209</f>
        <v>240001078.13588428</v>
      </c>
      <c r="V209" s="125">
        <f>INDEX(Slow!$G$105:$AF$110,MATCH('Chart tables'!$B$206,Slow!$C$105:$C$110,0),MATCH('Chart tables'!V$60,Slow!$G$38:$AF$38,0))*V$7+U209</f>
        <v>230696178.19434428</v>
      </c>
      <c r="W209" s="125">
        <f>INDEX(Slow!$G$105:$AF$110,MATCH('Chart tables'!$B$206,Slow!$C$105:$C$110,0),MATCH('Chart tables'!W$60,Slow!$G$38:$AF$38,0))*W$7+V209</f>
        <v>227394044.36519361</v>
      </c>
      <c r="X209" s="125">
        <f>INDEX(Slow!$G$105:$AF$110,MATCH('Chart tables'!$B$206,Slow!$C$105:$C$110,0),MATCH('Chart tables'!X$60,Slow!$G$38:$AF$38,0))*X$7+W209</f>
        <v>225500096.94253922</v>
      </c>
      <c r="Y209" s="125">
        <f>INDEX(Slow!$G$105:$AF$110,MATCH('Chart tables'!$B$206,Slow!$C$105:$C$110,0),MATCH('Chart tables'!Y$60,Slow!$G$38:$AF$38,0))*Y$7+X209</f>
        <v>236233809.94213772</v>
      </c>
      <c r="Z209" s="125">
        <f>INDEX(Slow!$G$105:$AF$110,MATCH('Chart tables'!$B$206,Slow!$C$105:$C$110,0),MATCH('Chart tables'!Z$60,Slow!$G$38:$AF$38,0))*Z$7+Y209</f>
        <v>245820613.78528166</v>
      </c>
      <c r="AA209" s="125">
        <f>INDEX(Slow!$G$105:$AF$110,MATCH('Chart tables'!$B$206,Slow!$C$105:$C$110,0),MATCH('Chart tables'!AA$60,Slow!$G$38:$AF$38,0))*AA$7+Z209</f>
        <v>257062696.72970533</v>
      </c>
      <c r="AB209" s="125">
        <f>INDEX(Slow!$G$105:$AF$110,MATCH('Chart tables'!$B$206,Slow!$C$105:$C$110,0),MATCH('Chart tables'!AB$60,Slow!$G$38:$AF$38,0))*AB$7+AA209</f>
        <v>279915276.58142185</v>
      </c>
    </row>
    <row r="210" spans="1:31" x14ac:dyDescent="0.2">
      <c r="A210" s="161"/>
      <c r="B210" s="214" t="s">
        <v>184</v>
      </c>
      <c r="C210" s="215">
        <f>INDEX(Slow!$G$114:$AF$119,MATCH('Chart tables'!$B$60,Slow!$C$114:$C$119,0),MATCH('Chart tables'!C$60,Slow!$G$38:$AF$38,0))*C$7</f>
        <v>0</v>
      </c>
      <c r="D210" s="125">
        <f>INDEX(Slow!$G$114:$AF$119,MATCH('Chart tables'!$B$206,Slow!$C$114:$C$119,0),MATCH('Chart tables'!D$60,Slow!$G$38:$AF$38,0))*D$7+C210</f>
        <v>97.634370648884214</v>
      </c>
      <c r="E210" s="198">
        <f>INDEX(Slow!$G$114:$AF$119,MATCH('Chart tables'!$B$206,Slow!$C$114:$C$119,0),MATCH('Chart tables'!E$60,Slow!$G$38:$AF$38,0))*E$7+D210</f>
        <v>200.01436994451069</v>
      </c>
      <c r="F210" s="198">
        <f>INDEX(Slow!$G$114:$AF$119,MATCH('Chart tables'!$B$206,Slow!$C$114:$C$119,0),MATCH('Chart tables'!F$60,Slow!$G$38:$AF$38,0))*F$7+E210</f>
        <v>-22960.12234524644</v>
      </c>
      <c r="G210" s="198">
        <f>INDEX(Slow!$G$114:$AF$119,MATCH('Chart tables'!$B$206,Slow!$C$114:$C$119,0),MATCH('Chart tables'!G$60,Slow!$G$38:$AF$38,0))*G$7+F210</f>
        <v>-85078.481409248488</v>
      </c>
      <c r="H210" s="198">
        <f>INDEX(Slow!$G$114:$AF$119,MATCH('Chart tables'!$B$206,Slow!$C$114:$C$119,0),MATCH('Chart tables'!H$60,Slow!$G$38:$AF$38,0))*H$7+G210</f>
        <v>-84955.727357270007</v>
      </c>
      <c r="I210" s="198">
        <f>INDEX(Slow!$G$114:$AF$119,MATCH('Chart tables'!$B$206,Slow!$C$114:$C$119,0),MATCH('Chart tables'!I$60,Slow!$G$38:$AF$38,0))*I$7+H210</f>
        <v>-174576.20678476407</v>
      </c>
      <c r="J210" s="198">
        <f>INDEX(Slow!$G$114:$AF$119,MATCH('Chart tables'!$B$206,Slow!$C$114:$C$119,0),MATCH('Chart tables'!J$60,Slow!$G$38:$AF$38,0))*J$7+I210</f>
        <v>-174437.80652231837</v>
      </c>
      <c r="K210" s="198">
        <f>INDEX(Slow!$G$114:$AF$119,MATCH('Chart tables'!$B$206,Slow!$C$114:$C$119,0),MATCH('Chart tables'!K$60,Slow!$G$38:$AF$38,0))*K$7+J210</f>
        <v>-174293.26719845473</v>
      </c>
      <c r="L210" s="198">
        <f>INDEX(Slow!$G$114:$AF$119,MATCH('Chart tables'!$B$206,Slow!$C$114:$C$119,0),MATCH('Chart tables'!L$60,Slow!$G$38:$AF$38,0))*L$7+K210</f>
        <v>-174138.08547233354</v>
      </c>
      <c r="M210" s="198">
        <f>INDEX(Slow!$G$114:$AF$119,MATCH('Chart tables'!$B$206,Slow!$C$114:$C$119,0),MATCH('Chart tables'!M$60,Slow!$G$38:$AF$38,0))*M$7+L210</f>
        <v>-173973.42961051842</v>
      </c>
      <c r="N210" s="198">
        <f>INDEX(Slow!$G$114:$AF$119,MATCH('Chart tables'!$B$206,Slow!$C$114:$C$119,0),MATCH('Chart tables'!N$60,Slow!$G$38:$AF$38,0))*N$7+M210</f>
        <v>-173798.49056519649</v>
      </c>
      <c r="O210" s="198">
        <f>INDEX(Slow!$G$114:$AF$119,MATCH('Chart tables'!$B$206,Slow!$C$114:$C$119,0),MATCH('Chart tables'!O$60,Slow!$G$38:$AF$38,0))*O$7+N210</f>
        <v>-177781.39434377797</v>
      </c>
      <c r="P210" s="198">
        <f>INDEX(Slow!$G$114:$AF$119,MATCH('Chart tables'!$B$206,Slow!$C$114:$C$119,0),MATCH('Chart tables'!P$60,Slow!$G$38:$AF$38,0))*P$7+O210</f>
        <v>-177584.37701770471</v>
      </c>
      <c r="Q210" s="198">
        <f>INDEX(Slow!$G$114:$AF$119,MATCH('Chart tables'!$B$206,Slow!$C$114:$C$119,0),MATCH('Chart tables'!Q$60,Slow!$G$38:$AF$38,0))*Q$7+P210</f>
        <v>-176889.93791709925</v>
      </c>
      <c r="R210" s="198">
        <f>INDEX(Slow!$G$114:$AF$119,MATCH('Chart tables'!$B$206,Slow!$C$114:$C$119,0),MATCH('Chart tables'!R$60,Slow!$G$38:$AF$38,0))*R$7+Q210</f>
        <v>92123.380569424568</v>
      </c>
      <c r="S210" s="198">
        <f>INDEX(Slow!$G$114:$AF$119,MATCH('Chart tables'!$B$206,Slow!$C$114:$C$119,0),MATCH('Chart tables'!S$60,Slow!$G$38:$AF$38,0))*S$7+R210</f>
        <v>147479.87406252333</v>
      </c>
      <c r="T210" s="198">
        <f>INDEX(Slow!$G$114:$AF$119,MATCH('Chart tables'!$B$206,Slow!$C$114:$C$119,0),MATCH('Chart tables'!T$60,Slow!$G$38:$AF$38,0))*T$7+S210</f>
        <v>1473765.2223409265</v>
      </c>
      <c r="U210" s="198">
        <f>INDEX(Slow!$G$114:$AF$119,MATCH('Chart tables'!$B$206,Slow!$C$114:$C$119,0),MATCH('Chart tables'!U$60,Slow!$G$38:$AF$38,0))*U$7+T210</f>
        <v>1551744.494061192</v>
      </c>
      <c r="V210" s="198">
        <f>INDEX(Slow!$G$114:$AF$119,MATCH('Chart tables'!$B$206,Slow!$C$114:$C$119,0),MATCH('Chart tables'!V$60,Slow!$G$38:$AF$38,0))*V$7+U210</f>
        <v>1201748.4601234412</v>
      </c>
      <c r="W210" s="198">
        <f>INDEX(Slow!$G$114:$AF$119,MATCH('Chart tables'!$B$206,Slow!$C$114:$C$119,0),MATCH('Chart tables'!W$60,Slow!$G$38:$AF$38,0))*W$7+V210</f>
        <v>1072323.9033910586</v>
      </c>
      <c r="X210" s="198">
        <f>INDEX(Slow!$G$114:$AF$119,MATCH('Chart tables'!$B$206,Slow!$C$114:$C$119,0),MATCH('Chart tables'!X$60,Slow!$G$38:$AF$38,0))*X$7+W210</f>
        <v>1019924.5513898833</v>
      </c>
      <c r="Y210" s="198">
        <f>INDEX(Slow!$G$114:$AF$119,MATCH('Chart tables'!$B$206,Slow!$C$114:$C$119,0),MATCH('Chart tables'!Y$60,Slow!$G$38:$AF$38,0))*Y$7+X210</f>
        <v>1234970.0433531282</v>
      </c>
      <c r="Z210" s="198">
        <f>INDEX(Slow!$G$114:$AF$119,MATCH('Chart tables'!$B$206,Slow!$C$114:$C$119,0),MATCH('Chart tables'!Z$60,Slow!$G$38:$AF$38,0))*Z$7+Y210</f>
        <v>1325079.2280149418</v>
      </c>
      <c r="AA210" s="198">
        <f>INDEX(Slow!$G$114:$AF$119,MATCH('Chart tables'!$B$206,Slow!$C$114:$C$119,0),MATCH('Chart tables'!AA$60,Slow!$G$38:$AF$38,0))*AA$7+Z210</f>
        <v>1420214.6341175656</v>
      </c>
      <c r="AB210" s="198">
        <f>INDEX(Slow!$G$114:$AF$119,MATCH('Chart tables'!$B$206,Slow!$C$114:$C$119,0),MATCH('Chart tables'!AB$60,Slow!$G$38:$AF$38,0))*AB$7+AA210</f>
        <v>1322666.223395973</v>
      </c>
    </row>
    <row r="211" spans="1:31" x14ac:dyDescent="0.2">
      <c r="A211" s="161"/>
      <c r="B211" s="214" t="s">
        <v>183</v>
      </c>
      <c r="C211" s="215">
        <f>INDEX(Slow!$G$123:$AF$128,MATCH('Chart tables'!$B$60,Slow!$C$123:$C$128,0),MATCH('Chart tables'!C$60,Slow!$G$38:$AF$38,0))*C$7</f>
        <v>0</v>
      </c>
      <c r="D211" s="125">
        <f>INDEX(Slow!$G$123:$AF$128,MATCH('Chart tables'!$B$206,Slow!$C$123:$C$128,0),MATCH('Chart tables'!D$60,Slow!$G$38:$AF$38,0))*D$7+C211</f>
        <v>2856.4650948047638</v>
      </c>
      <c r="E211" s="125">
        <f>INDEX(Slow!$G$123:$AF$128,MATCH('Chart tables'!$B$206,Slow!$C$123:$C$128,0),MATCH('Chart tables'!E$60,Slow!$G$38:$AF$38,0))*E$7+D211</f>
        <v>6760.4220324754715</v>
      </c>
      <c r="F211" s="125">
        <f>INDEX(Slow!$G$123:$AF$128,MATCH('Chart tables'!$B$206,Slow!$C$123:$C$128,0),MATCH('Chart tables'!F$60,Slow!$G$38:$AF$38,0))*F$7+E211</f>
        <v>73033171.314458132</v>
      </c>
      <c r="G211" s="125">
        <f>INDEX(Slow!$G$123:$AF$128,MATCH('Chart tables'!$B$206,Slow!$C$123:$C$128,0),MATCH('Chart tables'!G$60,Slow!$G$38:$AF$38,0))*G$7+F211</f>
        <v>73378703.006007195</v>
      </c>
      <c r="H211" s="125">
        <f>INDEX(Slow!$G$123:$AF$128,MATCH('Chart tables'!$B$206,Slow!$C$123:$C$128,0),MATCH('Chart tables'!H$60,Slow!$G$38:$AF$38,0))*H$7+G211</f>
        <v>72813099.734618664</v>
      </c>
      <c r="I211" s="125">
        <f>INDEX(Slow!$G$123:$AF$128,MATCH('Chart tables'!$B$206,Slow!$C$123:$C$128,0),MATCH('Chart tables'!I$60,Slow!$G$38:$AF$38,0))*I$7+H211</f>
        <v>71591017.33613801</v>
      </c>
      <c r="J211" s="125">
        <f>INDEX(Slow!$G$123:$AF$128,MATCH('Chart tables'!$B$206,Slow!$C$123:$C$128,0),MATCH('Chart tables'!J$60,Slow!$G$38:$AF$38,0))*J$7+I211</f>
        <v>70261565.405495524</v>
      </c>
      <c r="K211" s="125">
        <f>INDEX(Slow!$G$123:$AF$128,MATCH('Chart tables'!$B$206,Slow!$C$123:$C$128,0),MATCH('Chart tables'!K$60,Slow!$G$38:$AF$38,0))*K$7+J211</f>
        <v>70001302.200775981</v>
      </c>
      <c r="L211" s="125">
        <f>INDEX(Slow!$G$123:$AF$128,MATCH('Chart tables'!$B$206,Slow!$C$123:$C$128,0),MATCH('Chart tables'!L$60,Slow!$G$38:$AF$38,0))*L$7+K211</f>
        <v>66468937.595543742</v>
      </c>
      <c r="M211" s="125">
        <f>INDEX(Slow!$G$123:$AF$128,MATCH('Chart tables'!$B$206,Slow!$C$123:$C$128,0),MATCH('Chart tables'!M$60,Slow!$G$38:$AF$38,0))*M$7+L211</f>
        <v>62964133.154410243</v>
      </c>
      <c r="N211" s="125">
        <f>INDEX(Slow!$G$123:$AF$128,MATCH('Chart tables'!$B$206,Slow!$C$123:$C$128,0),MATCH('Chart tables'!N$60,Slow!$G$38:$AF$38,0))*N$7+M211</f>
        <v>57881509.909286737</v>
      </c>
      <c r="O211" s="125">
        <f>INDEX(Slow!$G$123:$AF$128,MATCH('Chart tables'!$B$206,Slow!$C$123:$C$128,0),MATCH('Chart tables'!O$60,Slow!$G$38:$AF$38,0))*O$7+N211</f>
        <v>52847218.130560994</v>
      </c>
      <c r="P211" s="125">
        <f>INDEX(Slow!$G$123:$AF$128,MATCH('Chart tables'!$B$206,Slow!$C$123:$C$128,0),MATCH('Chart tables'!P$60,Slow!$G$38:$AF$38,0))*P$7+O211</f>
        <v>48098659.476967454</v>
      </c>
      <c r="Q211" s="125">
        <f>INDEX(Slow!$G$123:$AF$128,MATCH('Chart tables'!$B$206,Slow!$C$123:$C$128,0),MATCH('Chart tables'!Q$60,Slow!$G$38:$AF$38,0))*Q$7+P211</f>
        <v>43627890.118260384</v>
      </c>
      <c r="R211" s="125">
        <f>INDEX(Slow!$G$123:$AF$128,MATCH('Chart tables'!$B$206,Slow!$C$123:$C$128,0),MATCH('Chart tables'!R$60,Slow!$G$38:$AF$38,0))*R$7+Q211</f>
        <v>103999700.35715818</v>
      </c>
      <c r="S211" s="125">
        <f>INDEX(Slow!$G$123:$AF$128,MATCH('Chart tables'!$B$206,Slow!$C$123:$C$128,0),MATCH('Chart tables'!S$60,Slow!$G$38:$AF$38,0))*S$7+R211</f>
        <v>86740739.649436951</v>
      </c>
      <c r="T211" s="125">
        <f>INDEX(Slow!$G$123:$AF$128,MATCH('Chart tables'!$B$206,Slow!$C$123:$C$128,0),MATCH('Chart tables'!T$60,Slow!$G$38:$AF$38,0))*T$7+S211</f>
        <v>191968139.29491043</v>
      </c>
      <c r="U211" s="125">
        <f>INDEX(Slow!$G$123:$AF$128,MATCH('Chart tables'!$B$206,Slow!$C$123:$C$128,0),MATCH('Chart tables'!U$60,Slow!$G$38:$AF$38,0))*U$7+T211</f>
        <v>140421657.9920454</v>
      </c>
      <c r="V211" s="125">
        <f>INDEX(Slow!$G$123:$AF$128,MATCH('Chart tables'!$B$206,Slow!$C$123:$C$128,0),MATCH('Chart tables'!V$60,Slow!$G$38:$AF$38,0))*V$7+U211</f>
        <v>197156566.87159419</v>
      </c>
      <c r="W211" s="125">
        <f>INDEX(Slow!$G$123:$AF$128,MATCH('Chart tables'!$B$206,Slow!$C$123:$C$128,0),MATCH('Chart tables'!W$60,Slow!$G$38:$AF$38,0))*W$7+V211</f>
        <v>127012333.52930379</v>
      </c>
      <c r="X211" s="125">
        <f>INDEX(Slow!$G$123:$AF$128,MATCH('Chart tables'!$B$206,Slow!$C$123:$C$128,0),MATCH('Chart tables'!X$60,Slow!$G$38:$AF$38,0))*X$7+W211</f>
        <v>138870243.10630822</v>
      </c>
      <c r="Y211" s="125">
        <f>INDEX(Slow!$G$123:$AF$128,MATCH('Chart tables'!$B$206,Slow!$C$123:$C$128,0),MATCH('Chart tables'!Y$60,Slow!$G$38:$AF$38,0))*Y$7+X211</f>
        <v>120501683.79697776</v>
      </c>
      <c r="Z211" s="125">
        <f>INDEX(Slow!$G$123:$AF$128,MATCH('Chart tables'!$B$206,Slow!$C$123:$C$128,0),MATCH('Chart tables'!Z$60,Slow!$G$38:$AF$38,0))*Z$7+Y211</f>
        <v>101121069.39968085</v>
      </c>
      <c r="AA211" s="125">
        <f>INDEX(Slow!$G$123:$AF$128,MATCH('Chart tables'!$B$206,Slow!$C$123:$C$128,0),MATCH('Chart tables'!AA$60,Slow!$G$38:$AF$38,0))*AA$7+Z211</f>
        <v>92670689.676186323</v>
      </c>
      <c r="AB211" s="125">
        <f>INDEX(Slow!$G$123:$AF$128,MATCH('Chart tables'!$B$206,Slow!$C$123:$C$128,0),MATCH('Chart tables'!AB$60,Slow!$G$38:$AF$38,0))*AB$7+AA211</f>
        <v>85109296.025241375</v>
      </c>
    </row>
    <row r="212" spans="1:31" x14ac:dyDescent="0.2">
      <c r="A212" s="161"/>
      <c r="B212" s="161"/>
      <c r="C212" s="161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61"/>
      <c r="AD212" s="126"/>
      <c r="AE212" s="126"/>
    </row>
    <row r="213" spans="1:31" x14ac:dyDescent="0.2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</row>
    <row r="214" spans="1:31" x14ac:dyDescent="0.2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</row>
    <row r="215" spans="1:31" x14ac:dyDescent="0.2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</row>
    <row r="216" spans="1:31" x14ac:dyDescent="0.2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</row>
    <row r="217" spans="1:31" x14ac:dyDescent="0.2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</row>
    <row r="218" spans="1:31" x14ac:dyDescent="0.2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</row>
    <row r="219" spans="1:31" x14ac:dyDescent="0.2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</row>
    <row r="220" spans="1:31" x14ac:dyDescent="0.2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</row>
    <row r="221" spans="1:31" x14ac:dyDescent="0.2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</row>
    <row r="222" spans="1:31" x14ac:dyDescent="0.2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</row>
    <row r="223" spans="1:31" x14ac:dyDescent="0.2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</row>
    <row r="224" spans="1:31" x14ac:dyDescent="0.2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</row>
    <row r="225" spans="2:28" x14ac:dyDescent="0.2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</row>
    <row r="226" spans="2:28" x14ac:dyDescent="0.2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</row>
    <row r="227" spans="2:28" x14ac:dyDescent="0.2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</row>
    <row r="229" spans="2:28" s="161" customFormat="1" ht="15.75" x14ac:dyDescent="0.25">
      <c r="B229" s="209" t="s">
        <v>202</v>
      </c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  <c r="AA229" s="195"/>
      <c r="AB229" s="195"/>
    </row>
    <row r="230" spans="2:28" s="161" customFormat="1" x14ac:dyDescent="0.2"/>
    <row r="231" spans="2:28" s="161" customFormat="1" x14ac:dyDescent="0.2">
      <c r="B231" s="206" t="s">
        <v>53</v>
      </c>
      <c r="C231" s="121" t="s">
        <v>38</v>
      </c>
      <c r="D231" s="121" t="s">
        <v>95</v>
      </c>
      <c r="E231" s="121" t="s">
        <v>195</v>
      </c>
    </row>
    <row r="232" spans="2:28" s="161" customFormat="1" x14ac:dyDescent="0.2">
      <c r="B232" s="214" t="str">
        <f>'Option inputs'!$C$15</f>
        <v>Option 1A</v>
      </c>
      <c r="C232" s="125">
        <f>Fast!F8/1000000</f>
        <v>13.736643271883963</v>
      </c>
      <c r="D232" s="125">
        <f>RANK(C232,$C$232:$C$237)</f>
        <v>1</v>
      </c>
      <c r="E232" s="192">
        <f>1-C232/$C$159</f>
        <v>0.41516729577864553</v>
      </c>
      <c r="J232" s="149"/>
    </row>
    <row r="233" spans="2:28" s="161" customFormat="1" x14ac:dyDescent="0.2">
      <c r="B233" s="214" t="str">
        <f>'Option inputs'!$C$16</f>
        <v>Option 1B</v>
      </c>
      <c r="C233" s="125">
        <f>Fast!F9/1000000</f>
        <v>-59.04695177852853</v>
      </c>
      <c r="D233" s="125">
        <f t="shared" ref="D233:D237" si="12">RANK(C233,$C$232:$C$237)</f>
        <v>4</v>
      </c>
      <c r="E233" s="192">
        <f t="shared" ref="E233:E234" si="13">1-C233/$C$159</f>
        <v>3.5139029820586334</v>
      </c>
    </row>
    <row r="234" spans="2:28" s="161" customFormat="1" x14ac:dyDescent="0.2">
      <c r="B234" s="214" t="str">
        <f>'Option inputs'!$C$17</f>
        <v>Option 2</v>
      </c>
      <c r="C234" s="125">
        <f>Fast!F10/1000000</f>
        <v>-115.54366045041711</v>
      </c>
      <c r="D234" s="125">
        <f t="shared" si="12"/>
        <v>6</v>
      </c>
      <c r="E234" s="192">
        <f t="shared" si="13"/>
        <v>5.9192302704082493</v>
      </c>
    </row>
    <row r="235" spans="2:28" s="161" customFormat="1" x14ac:dyDescent="0.2">
      <c r="B235" s="214" t="str">
        <f>'Option inputs'!$C$18</f>
        <v>Option 3</v>
      </c>
      <c r="C235" s="125">
        <f>Fast!F11/1000000</f>
        <v>-3.9491192675823092</v>
      </c>
      <c r="D235" s="125">
        <f t="shared" si="12"/>
        <v>2</v>
      </c>
      <c r="E235" s="192">
        <f>1-C235/$C$159</f>
        <v>1.1681323489909672</v>
      </c>
      <c r="F235" s="126"/>
      <c r="G235" s="149"/>
      <c r="H235" s="175"/>
    </row>
    <row r="236" spans="2:28" s="161" customFormat="1" x14ac:dyDescent="0.2">
      <c r="B236" s="214" t="str">
        <f>'Option inputs'!$C$19</f>
        <v>Option 4</v>
      </c>
      <c r="C236" s="125">
        <f>Fast!F12/1000000</f>
        <v>-62.631885848719179</v>
      </c>
      <c r="D236" s="125">
        <f t="shared" si="12"/>
        <v>5</v>
      </c>
      <c r="E236" s="192">
        <f t="shared" ref="E236:E237" si="14">1-C236/$C$159</f>
        <v>3.6665302757305991</v>
      </c>
    </row>
    <row r="237" spans="2:28" s="161" customFormat="1" x14ac:dyDescent="0.2">
      <c r="B237" s="214" t="str">
        <f>'Option inputs'!$C$20</f>
        <v>Option 5</v>
      </c>
      <c r="C237" s="125">
        <f>Fast!F13/1000000</f>
        <v>-27.867301509654695</v>
      </c>
      <c r="D237" s="125">
        <f t="shared" si="12"/>
        <v>3</v>
      </c>
      <c r="E237" s="192">
        <f t="shared" si="14"/>
        <v>2.1864404555515531</v>
      </c>
    </row>
    <row r="238" spans="2:28" s="161" customFormat="1" x14ac:dyDescent="0.2"/>
    <row r="239" spans="2:28" s="161" customFormat="1" x14ac:dyDescent="0.2"/>
    <row r="240" spans="2:28" s="161" customFormat="1" x14ac:dyDescent="0.2"/>
    <row r="241" spans="2:15" s="161" customFormat="1" x14ac:dyDescent="0.2"/>
    <row r="242" spans="2:15" s="161" customFormat="1" x14ac:dyDescent="0.2"/>
    <row r="243" spans="2:15" s="161" customFormat="1" x14ac:dyDescent="0.2"/>
    <row r="244" spans="2:15" s="161" customFormat="1" x14ac:dyDescent="0.2"/>
    <row r="245" spans="2:15" s="161" customFormat="1" x14ac:dyDescent="0.2"/>
    <row r="246" spans="2:15" s="161" customFormat="1" x14ac:dyDescent="0.2"/>
    <row r="247" spans="2:15" s="161" customFormat="1" x14ac:dyDescent="0.2"/>
    <row r="248" spans="2:15" s="161" customFormat="1" x14ac:dyDescent="0.2"/>
    <row r="249" spans="2:15" s="161" customFormat="1" x14ac:dyDescent="0.2"/>
    <row r="250" spans="2:15" s="161" customFormat="1" x14ac:dyDescent="0.2"/>
    <row r="251" spans="2:15" s="161" customFormat="1" x14ac:dyDescent="0.2"/>
    <row r="252" spans="2:15" s="161" customFormat="1" x14ac:dyDescent="0.2"/>
    <row r="253" spans="2:15" s="161" customFormat="1" x14ac:dyDescent="0.2"/>
    <row r="254" spans="2:15" s="161" customFormat="1" x14ac:dyDescent="0.2"/>
    <row r="255" spans="2:15" s="161" customFormat="1" x14ac:dyDescent="0.2">
      <c r="B255" s="206" t="s">
        <v>53</v>
      </c>
      <c r="C255" s="121" t="s">
        <v>38</v>
      </c>
      <c r="D255" s="121" t="str">
        <f>D109</f>
        <v>Transmission capex</v>
      </c>
      <c r="E255" s="121" t="str">
        <f t="shared" ref="E255:J255" si="15">E109</f>
        <v>Transmission opex</v>
      </c>
      <c r="F255" s="121" t="str">
        <f t="shared" si="15"/>
        <v>Avoided unserved energy</v>
      </c>
      <c r="G255" s="121" t="str">
        <f t="shared" si="15"/>
        <v>Avoided transmission capex</v>
      </c>
      <c r="H255" s="121" t="str">
        <f t="shared" si="15"/>
        <v>Avoided fuel costs</v>
      </c>
      <c r="I255" s="121" t="str">
        <f t="shared" si="15"/>
        <v>Avoided voluntary load curtailment</v>
      </c>
      <c r="J255" s="121" t="str">
        <f t="shared" si="15"/>
        <v>Avoided generation/storage costs</v>
      </c>
      <c r="K255" s="121" t="s">
        <v>207</v>
      </c>
      <c r="L255" s="121" t="s">
        <v>208</v>
      </c>
    </row>
    <row r="256" spans="2:15" s="161" customFormat="1" x14ac:dyDescent="0.2">
      <c r="B256" s="214" t="str">
        <f>'Option inputs'!$C$15</f>
        <v>Option 1A</v>
      </c>
      <c r="C256" s="198">
        <f>Fast!F8/1000000</f>
        <v>13.736643271883963</v>
      </c>
      <c r="D256" s="198">
        <f>Fast!F58/1000000</f>
        <v>-146.82486483058929</v>
      </c>
      <c r="E256" s="198">
        <f>Fast!F67/1000000</f>
        <v>-20.378268720397383</v>
      </c>
      <c r="F256" s="198">
        <f>Fast!F87/1000000</f>
        <v>-0.19893775633900368</v>
      </c>
      <c r="G256" s="198">
        <f>Fast!F96/1000000</f>
        <v>17.061620072424741</v>
      </c>
      <c r="H256" s="198">
        <f>Fast!F105/1000000</f>
        <v>15.849786992000096</v>
      </c>
      <c r="I256" s="198">
        <f>Fast!F114/1000000</f>
        <v>-0.26131849704399757</v>
      </c>
      <c r="J256" s="198">
        <f>Fast!F123/1000000</f>
        <v>148.48862601182879</v>
      </c>
      <c r="K256" s="198">
        <f>Fast!F132/1000000</f>
        <v>0</v>
      </c>
      <c r="L256" s="198">
        <f>Fast!F141/1000000</f>
        <v>0</v>
      </c>
      <c r="M256" s="149"/>
      <c r="N256" s="149"/>
      <c r="O256" s="132"/>
    </row>
    <row r="257" spans="2:12" s="161" customFormat="1" x14ac:dyDescent="0.2">
      <c r="B257" s="214" t="str">
        <f>'Option inputs'!$C$16</f>
        <v>Option 1B</v>
      </c>
      <c r="C257" s="198">
        <f>Fast!F9/1000000</f>
        <v>-59.04695177852853</v>
      </c>
      <c r="D257" s="198">
        <f>Fast!F59/1000000</f>
        <v>-210.72314840101808</v>
      </c>
      <c r="E257" s="198">
        <f>Fast!F68/1000000</f>
        <v>-29.263580200381078</v>
      </c>
      <c r="F257" s="198">
        <f>Fast!F88/1000000</f>
        <v>-0.19893775633900368</v>
      </c>
      <c r="G257" s="198">
        <f>Fast!F97/1000000</f>
        <v>17.061620072424741</v>
      </c>
      <c r="H257" s="198">
        <f>Fast!F106/1000000</f>
        <v>15.849786992000096</v>
      </c>
      <c r="I257" s="198">
        <f>Fast!F115/1000000</f>
        <v>-0.26131849704399757</v>
      </c>
      <c r="J257" s="198">
        <f>Fast!F124/1000000</f>
        <v>148.48862601182879</v>
      </c>
      <c r="K257" s="198">
        <f>Fast!F133/1000000</f>
        <v>0</v>
      </c>
      <c r="L257" s="198">
        <f>Fast!F142/1000000</f>
        <v>0</v>
      </c>
    </row>
    <row r="258" spans="2:12" s="161" customFormat="1" x14ac:dyDescent="0.2">
      <c r="B258" s="214" t="str">
        <f>'Option inputs'!$C$17</f>
        <v>Option 2</v>
      </c>
      <c r="C258" s="198">
        <f>Fast!F10/1000000</f>
        <v>-115.54366045041711</v>
      </c>
      <c r="D258" s="198">
        <f>Fast!F60/1000000</f>
        <v>-273.20917512823519</v>
      </c>
      <c r="E258" s="198">
        <f>Fast!F69/1000000</f>
        <v>-37.955732735147741</v>
      </c>
      <c r="F258" s="198">
        <f>Fast!F89/1000000</f>
        <v>-0.10296766341496434</v>
      </c>
      <c r="G258" s="198">
        <f>Fast!F98/1000000</f>
        <v>18.126311313904871</v>
      </c>
      <c r="H258" s="198">
        <f>Fast!F107/1000000</f>
        <v>22.522171523512057</v>
      </c>
      <c r="I258" s="198">
        <f>Fast!F116/1000000</f>
        <v>-0.24546511832790091</v>
      </c>
      <c r="J258" s="198">
        <f>Fast!F125/1000000</f>
        <v>155.32119735729157</v>
      </c>
      <c r="K258" s="198">
        <f>Fast!F134/1000000</f>
        <v>0</v>
      </c>
      <c r="L258" s="198">
        <f>Fast!F143/1000000</f>
        <v>0</v>
      </c>
    </row>
    <row r="259" spans="2:12" s="161" customFormat="1" x14ac:dyDescent="0.2">
      <c r="B259" s="214" t="str">
        <f>'Option inputs'!$C$18</f>
        <v>Option 3</v>
      </c>
      <c r="C259" s="198">
        <f>Fast!F11/1000000</f>
        <v>-3.9491192675823092</v>
      </c>
      <c r="D259" s="198">
        <f>Fast!F61/1000000</f>
        <v>-37.359125191602097</v>
      </c>
      <c r="E259" s="198">
        <f>Fast!F70/1000000</f>
        <v>-5.2265185098549329</v>
      </c>
      <c r="F259" s="198">
        <f>Fast!F90/1000000</f>
        <v>-0.31031421011599153</v>
      </c>
      <c r="G259" s="198">
        <f>Fast!F99/1000000</f>
        <v>2.4273067018860455</v>
      </c>
      <c r="H259" s="198">
        <f>Fast!F108/1000000</f>
        <v>4.5206423432142371</v>
      </c>
      <c r="I259" s="198">
        <f>Fast!F117/1000000</f>
        <v>7.6338606401512424E-2</v>
      </c>
      <c r="J259" s="198">
        <f>Fast!F126/1000000</f>
        <v>31.922550992488926</v>
      </c>
      <c r="K259" s="198">
        <f>Fast!F135/1000000</f>
        <v>0</v>
      </c>
      <c r="L259" s="198">
        <f>Fast!F144/1000000</f>
        <v>0</v>
      </c>
    </row>
    <row r="260" spans="2:12" s="161" customFormat="1" x14ac:dyDescent="0.2">
      <c r="B260" s="214" t="str">
        <f>'Option inputs'!$C$19</f>
        <v>Option 4</v>
      </c>
      <c r="C260" s="198">
        <f>Fast!F12/1000000</f>
        <v>-62.631885848719179</v>
      </c>
      <c r="D260" s="266" t="s">
        <v>240</v>
      </c>
      <c r="E260" s="251"/>
      <c r="F260" s="251"/>
      <c r="G260" s="251"/>
      <c r="H260" s="251"/>
      <c r="I260" s="251"/>
      <c r="J260" s="251"/>
      <c r="K260" s="251"/>
      <c r="L260" s="252"/>
    </row>
    <row r="261" spans="2:12" s="161" customFormat="1" x14ac:dyDescent="0.2">
      <c r="B261" s="214" t="str">
        <f>'Option inputs'!$C$20</f>
        <v>Option 5</v>
      </c>
      <c r="C261" s="198">
        <f>Fast!F13/1000000</f>
        <v>-27.867301509654695</v>
      </c>
      <c r="D261" s="267" t="s">
        <v>240</v>
      </c>
      <c r="E261" s="253"/>
      <c r="F261" s="253"/>
      <c r="G261" s="253"/>
      <c r="H261" s="253"/>
      <c r="I261" s="253"/>
      <c r="J261" s="253"/>
      <c r="K261" s="253"/>
      <c r="L261" s="254"/>
    </row>
    <row r="262" spans="2:12" s="161" customFormat="1" x14ac:dyDescent="0.2"/>
    <row r="263" spans="2:12" s="161" customFormat="1" x14ac:dyDescent="0.2"/>
    <row r="264" spans="2:12" s="161" customFormat="1" x14ac:dyDescent="0.2"/>
    <row r="265" spans="2:12" s="161" customFormat="1" x14ac:dyDescent="0.2"/>
    <row r="266" spans="2:12" s="161" customFormat="1" x14ac:dyDescent="0.2"/>
    <row r="267" spans="2:12" s="161" customFormat="1" x14ac:dyDescent="0.2"/>
    <row r="268" spans="2:12" s="161" customFormat="1" x14ac:dyDescent="0.2"/>
    <row r="269" spans="2:12" s="161" customFormat="1" x14ac:dyDescent="0.2"/>
    <row r="270" spans="2:12" s="161" customFormat="1" x14ac:dyDescent="0.2"/>
    <row r="271" spans="2:12" s="161" customFormat="1" x14ac:dyDescent="0.2"/>
    <row r="272" spans="2:12" s="161" customFormat="1" x14ac:dyDescent="0.2"/>
    <row r="273" spans="2:31" s="161" customFormat="1" x14ac:dyDescent="0.2"/>
    <row r="274" spans="2:31" s="161" customFormat="1" x14ac:dyDescent="0.2"/>
    <row r="275" spans="2:31" s="161" customFormat="1" x14ac:dyDescent="0.2"/>
    <row r="276" spans="2:31" s="161" customFormat="1" x14ac:dyDescent="0.2"/>
    <row r="277" spans="2:31" s="161" customFormat="1" x14ac:dyDescent="0.2"/>
    <row r="278" spans="2:31" s="161" customFormat="1" x14ac:dyDescent="0.2"/>
    <row r="279" spans="2:31" s="161" customFormat="1" x14ac:dyDescent="0.2">
      <c r="B279" s="206" t="str">
        <f>INDEX($B$159:$B$164,MATCH(1,$D$159:$D$164,0))</f>
        <v>Option 1A</v>
      </c>
      <c r="C279" s="121" t="str">
        <f>C133</f>
        <v>2020-21</v>
      </c>
      <c r="D279" s="121" t="str">
        <f t="shared" ref="D279:AB279" si="16">D133</f>
        <v>2021-22</v>
      </c>
      <c r="E279" s="121" t="str">
        <f t="shared" si="16"/>
        <v>2022-23</v>
      </c>
      <c r="F279" s="121" t="str">
        <f t="shared" si="16"/>
        <v>2023-24</v>
      </c>
      <c r="G279" s="121" t="str">
        <f t="shared" si="16"/>
        <v>2024-25</v>
      </c>
      <c r="H279" s="121" t="str">
        <f t="shared" si="16"/>
        <v>2025-26</v>
      </c>
      <c r="I279" s="121" t="str">
        <f t="shared" si="16"/>
        <v>2026-27</v>
      </c>
      <c r="J279" s="121" t="str">
        <f t="shared" si="16"/>
        <v>2027-28</v>
      </c>
      <c r="K279" s="121" t="str">
        <f t="shared" si="16"/>
        <v>2028-29</v>
      </c>
      <c r="L279" s="121" t="str">
        <f t="shared" si="16"/>
        <v>2029-30</v>
      </c>
      <c r="M279" s="121" t="str">
        <f t="shared" si="16"/>
        <v>2030-31</v>
      </c>
      <c r="N279" s="121" t="str">
        <f t="shared" si="16"/>
        <v>2031-32</v>
      </c>
      <c r="O279" s="121" t="str">
        <f t="shared" si="16"/>
        <v>2032-33</v>
      </c>
      <c r="P279" s="121" t="str">
        <f t="shared" si="16"/>
        <v>2033-34</v>
      </c>
      <c r="Q279" s="121" t="str">
        <f t="shared" si="16"/>
        <v>2034-35</v>
      </c>
      <c r="R279" s="121" t="str">
        <f t="shared" si="16"/>
        <v>2035-36</v>
      </c>
      <c r="S279" s="121" t="str">
        <f t="shared" si="16"/>
        <v>2036-37</v>
      </c>
      <c r="T279" s="121" t="str">
        <f t="shared" si="16"/>
        <v>2037-38</v>
      </c>
      <c r="U279" s="121" t="str">
        <f t="shared" si="16"/>
        <v>2038-39</v>
      </c>
      <c r="V279" s="121" t="str">
        <f t="shared" si="16"/>
        <v>2039-40</v>
      </c>
      <c r="W279" s="121" t="str">
        <f t="shared" si="16"/>
        <v>2040-41</v>
      </c>
      <c r="X279" s="121" t="str">
        <f t="shared" si="16"/>
        <v>2041-42</v>
      </c>
      <c r="Y279" s="121" t="str">
        <f t="shared" si="16"/>
        <v>2042-43</v>
      </c>
      <c r="Z279" s="121" t="str">
        <f t="shared" si="16"/>
        <v>2043-44</v>
      </c>
      <c r="AA279" s="121" t="str">
        <f t="shared" si="16"/>
        <v>2044-45</v>
      </c>
      <c r="AB279" s="121" t="str">
        <f t="shared" si="16"/>
        <v>2045-46</v>
      </c>
    </row>
    <row r="280" spans="2:31" s="161" customFormat="1" x14ac:dyDescent="0.2">
      <c r="B280" s="214" t="s">
        <v>181</v>
      </c>
      <c r="C280" s="215">
        <f>INDEX(Slow!$G$87:$AF$92,MATCH('Chart tables'!$B$60,Slow!$C$87:$C$92,0),MATCH('Chart tables'!C$60,Slow!$G$38:$AF$38,0))*C$7</f>
        <v>0</v>
      </c>
      <c r="D280" s="125">
        <f>INDEX(Fast!$G$87:$AF$92,MATCH('Chart tables'!$B$206,Fast!$C$87:$C$92,0),MATCH('Chart tables'!D$60,Fast!$G$38:$AF$38,0))*D$7+C280</f>
        <v>-10.299304686486721</v>
      </c>
      <c r="E280" s="125">
        <f>INDEX(Fast!$G$87:$AF$92,MATCH('Chart tables'!$B$206,Fast!$C$87:$C$92,0),MATCH('Chart tables'!E$60,Fast!$G$38:$AF$38,0))*E$7+D280</f>
        <v>-53.840401623923242</v>
      </c>
      <c r="F280" s="125">
        <f>INDEX(Fast!$G$87:$AF$92,MATCH('Chart tables'!$B$206,Fast!$C$87:$C$92,0),MATCH('Chart tables'!F$60,Fast!$G$38:$AF$38,0))*F$7+E280</f>
        <v>-273.10702033765978</v>
      </c>
      <c r="G280" s="125">
        <f>INDEX(Fast!$G$87:$AF$92,MATCH('Chart tables'!$B$206,Fast!$C$87:$C$92,0),MATCH('Chart tables'!G$60,Fast!$G$38:$AF$38,0))*G$7+F280</f>
        <v>103444.72731776111</v>
      </c>
      <c r="H280" s="125">
        <f>INDEX(Fast!$G$87:$AF$92,MATCH('Chart tables'!$B$206,Fast!$C$87:$C$92,0),MATCH('Chart tables'!H$60,Fast!$G$38:$AF$38,0))*H$7+G280</f>
        <v>103393.0218429511</v>
      </c>
      <c r="I280" s="125">
        <f>INDEX(Fast!$G$87:$AF$92,MATCH('Chart tables'!$B$206,Fast!$C$87:$C$92,0),MATCH('Chart tables'!I$60,Fast!$G$38:$AF$38,0))*I$7+H280</f>
        <v>103338.28961341795</v>
      </c>
      <c r="J280" s="125">
        <f>INDEX(Fast!$G$87:$AF$92,MATCH('Chart tables'!$B$206,Fast!$C$87:$C$92,0),MATCH('Chart tables'!J$60,Fast!$G$38:$AF$38,0))*J$7+I280</f>
        <v>103280.15452906059</v>
      </c>
      <c r="K280" s="125">
        <f>INDEX(Fast!$G$87:$AF$92,MATCH('Chart tables'!$B$206,Fast!$C$87:$C$92,0),MATCH('Chart tables'!K$60,Fast!$G$38:$AF$38,0))*K$7+J280</f>
        <v>103218.71855133797</v>
      </c>
      <c r="L280" s="125">
        <f>INDEX(Fast!$G$87:$AF$92,MATCH('Chart tables'!$B$206,Fast!$C$87:$C$92,0),MATCH('Chart tables'!L$60,Fast!$G$38:$AF$38,0))*L$7+K280</f>
        <v>103153.58859656323</v>
      </c>
      <c r="M280" s="125">
        <f>INDEX(Fast!$G$87:$AF$92,MATCH('Chart tables'!$B$206,Fast!$C$87:$C$92,0),MATCH('Chart tables'!M$60,Fast!$G$38:$AF$38,0))*M$7+L280</f>
        <v>-2388783.3266336941</v>
      </c>
      <c r="N280" s="125">
        <f>INDEX(Fast!$G$87:$AF$92,MATCH('Chart tables'!$B$206,Fast!$C$87:$C$92,0),MATCH('Chart tables'!N$60,Fast!$G$38:$AF$38,0))*N$7+M280</f>
        <v>-2388856.6166598815</v>
      </c>
      <c r="O280" s="125">
        <f>INDEX(Fast!$G$87:$AF$92,MATCH('Chart tables'!$B$206,Fast!$C$87:$C$92,0),MATCH('Chart tables'!O$60,Fast!$G$38:$AF$38,0))*O$7+N280</f>
        <v>-2388934.0975498455</v>
      </c>
      <c r="P280" s="125">
        <f>INDEX(Fast!$G$87:$AF$92,MATCH('Chart tables'!$B$206,Fast!$C$87:$C$92,0),MATCH('Chart tables'!P$60,Fast!$G$38:$AF$38,0))*P$7+O280</f>
        <v>-2389016.3435094552</v>
      </c>
      <c r="Q280" s="125">
        <f>INDEX(Fast!$G$87:$AF$92,MATCH('Chart tables'!$B$206,Fast!$C$87:$C$92,0),MATCH('Chart tables'!Q$60,Fast!$G$38:$AF$38,0))*Q$7+P280</f>
        <v>-2389118.4859598647</v>
      </c>
      <c r="R280" s="125">
        <f>INDEX(Fast!$G$87:$AF$92,MATCH('Chart tables'!$B$206,Fast!$C$87:$C$92,0),MATCH('Chart tables'!R$60,Fast!$G$38:$AF$38,0))*R$7+Q280</f>
        <v>-2389210.5878727194</v>
      </c>
      <c r="S280" s="125">
        <f>INDEX(Fast!$G$87:$AF$92,MATCH('Chart tables'!$B$206,Fast!$C$87:$C$92,0),MATCH('Chart tables'!S$60,Fast!$G$38:$AF$38,0))*S$7+R280</f>
        <v>-2389307.8245863584</v>
      </c>
      <c r="T280" s="125">
        <f>INDEX(Fast!$G$87:$AF$92,MATCH('Chart tables'!$B$206,Fast!$C$87:$C$92,0),MATCH('Chart tables'!T$60,Fast!$G$38:$AF$38,0))*T$7+S280</f>
        <v>475643.75810688687</v>
      </c>
      <c r="U280" s="125">
        <f>INDEX(Fast!$G$87:$AF$92,MATCH('Chart tables'!$B$206,Fast!$C$87:$C$92,0),MATCH('Chart tables'!U$60,Fast!$G$38:$AF$38,0))*U$7+T280</f>
        <v>475534.4188734467</v>
      </c>
      <c r="V280" s="125">
        <f>INDEX(Fast!$G$87:$AF$92,MATCH('Chart tables'!$B$206,Fast!$C$87:$C$92,0),MATCH('Chart tables'!V$60,Fast!$G$38:$AF$38,0))*V$7+U280</f>
        <v>475418.39474383387</v>
      </c>
      <c r="W280" s="125">
        <f>INDEX(Fast!$G$87:$AF$92,MATCH('Chart tables'!$B$206,Fast!$C$87:$C$92,0),MATCH('Chart tables'!W$60,Fast!$G$38:$AF$38,0))*W$7+V280</f>
        <v>475295.81374832435</v>
      </c>
      <c r="X280" s="125">
        <f>INDEX(Fast!$G$87:$AF$92,MATCH('Chart tables'!$B$206,Fast!$C$87:$C$92,0),MATCH('Chart tables'!X$60,Fast!$G$38:$AF$38,0))*X$7+W280</f>
        <v>475165.89206247299</v>
      </c>
      <c r="Y280" s="125">
        <f>INDEX(Fast!$G$87:$AF$92,MATCH('Chart tables'!$B$206,Fast!$C$87:$C$92,0),MATCH('Chart tables'!Y$60,Fast!$G$38:$AF$38,0))*Y$7+X280</f>
        <v>585748.13939453743</v>
      </c>
      <c r="Z280" s="125">
        <f>INDEX(Fast!$G$87:$AF$92,MATCH('Chart tables'!$B$206,Fast!$C$87:$C$92,0),MATCH('Chart tables'!Z$60,Fast!$G$38:$AF$38,0))*Z$7+Y280</f>
        <v>585602.22509519896</v>
      </c>
      <c r="AA280" s="125">
        <f>INDEX(Fast!$G$87:$AF$92,MATCH('Chart tables'!$B$206,Fast!$C$87:$C$92,0),MATCH('Chart tables'!AA$60,Fast!$G$38:$AF$38,0))*AA$7+Z280</f>
        <v>585447.96078714461</v>
      </c>
      <c r="AB280" s="125">
        <f>INDEX(Fast!$G$87:$AF$92,MATCH('Chart tables'!$B$206,Fast!$C$87:$C$92,0),MATCH('Chart tables'!AB$60,Fast!$G$38:$AF$38,0))*AB$7+AA280</f>
        <v>585284.58294817421</v>
      </c>
    </row>
    <row r="281" spans="2:31" s="161" customFormat="1" x14ac:dyDescent="0.2">
      <c r="B281" s="214" t="s">
        <v>185</v>
      </c>
      <c r="C281" s="215">
        <f>INDEX(Slow!$G$96:$AF$101,MATCH('Chart tables'!$B$60,Slow!$C$96:$C$101,0),MATCH('Chart tables'!C$60,Slow!$G$38:$AF$38,0))*C$7</f>
        <v>0</v>
      </c>
      <c r="D281" s="125">
        <f>INDEX(Fast!$G$96:$AF$101,MATCH('Chart tables'!$B$206,Fast!$C$96:$C$101,0),MATCH('Chart tables'!D$60,Fast!$G$38:$AF$38,0))*D$7+C281</f>
        <v>-90.769536613062428</v>
      </c>
      <c r="E281" s="125">
        <f>INDEX(Fast!$G$96:$AF$101,MATCH('Chart tables'!$B$206,Fast!$C$96:$C$101,0),MATCH('Chart tables'!E$60,Fast!$G$38:$AF$38,0))*E$7+D281</f>
        <v>-534.32843661738843</v>
      </c>
      <c r="F281" s="125">
        <f>INDEX(Fast!$G$96:$AF$101,MATCH('Chart tables'!$B$206,Fast!$C$96:$C$101,0),MATCH('Chart tables'!F$60,Fast!$G$38:$AF$38,0))*F$7+E281</f>
        <v>-644.99326377560305</v>
      </c>
      <c r="G281" s="125">
        <f>INDEX(Fast!$G$96:$AF$101,MATCH('Chart tables'!$B$206,Fast!$C$96:$C$101,0),MATCH('Chart tables'!G$60,Fast!$G$38:$AF$38,0))*G$7+F281</f>
        <v>-709.73284317961236</v>
      </c>
      <c r="H281" s="125">
        <f>INDEX(Fast!$G$96:$AF$101,MATCH('Chart tables'!$B$206,Fast!$C$96:$C$101,0),MATCH('Chart tables'!H$60,Fast!$G$38:$AF$38,0))*H$7+G281</f>
        <v>-833.74853851222076</v>
      </c>
      <c r="I281" s="125">
        <f>INDEX(Fast!$G$96:$AF$101,MATCH('Chart tables'!$B$206,Fast!$C$96:$C$101,0),MATCH('Chart tables'!I$60,Fast!$G$38:$AF$38,0))*I$7+H281</f>
        <v>-1001.4665886153063</v>
      </c>
      <c r="J281" s="125">
        <f>INDEX(Fast!$G$96:$AF$101,MATCH('Chart tables'!$B$206,Fast!$C$96:$C$101,0),MATCH('Chart tables'!J$60,Fast!$G$38:$AF$38,0))*J$7+I281</f>
        <v>-1129.4765848147385</v>
      </c>
      <c r="K281" s="125">
        <f>INDEX(Fast!$G$96:$AF$101,MATCH('Chart tables'!$B$206,Fast!$C$96:$C$101,0),MATCH('Chart tables'!K$60,Fast!$G$38:$AF$38,0))*K$7+J281</f>
        <v>-2122.9991844079473</v>
      </c>
      <c r="L281" s="125">
        <f>INDEX(Fast!$G$96:$AF$101,MATCH('Chart tables'!$B$206,Fast!$C$96:$C$101,0),MATCH('Chart tables'!L$60,Fast!$G$38:$AF$38,0))*L$7+K281</f>
        <v>-4506175.3849393148</v>
      </c>
      <c r="M281" s="125">
        <f>INDEX(Fast!$G$96:$AF$101,MATCH('Chart tables'!$B$206,Fast!$C$96:$C$101,0),MATCH('Chart tables'!M$60,Fast!$G$38:$AF$38,0))*M$7+L281</f>
        <v>97553729.766424894</v>
      </c>
      <c r="N281" s="125">
        <f>INDEX(Fast!$G$96:$AF$101,MATCH('Chart tables'!$B$206,Fast!$C$96:$C$101,0),MATCH('Chart tables'!N$60,Fast!$G$38:$AF$38,0))*N$7+M281</f>
        <v>97553400.893877789</v>
      </c>
      <c r="O281" s="125">
        <f>INDEX(Fast!$G$96:$AF$101,MATCH('Chart tables'!$B$206,Fast!$C$96:$C$101,0),MATCH('Chart tables'!O$60,Fast!$G$38:$AF$38,0))*O$7+N281</f>
        <v>70667754.604602918</v>
      </c>
      <c r="P281" s="125">
        <f>INDEX(Fast!$G$96:$AF$101,MATCH('Chart tables'!$B$206,Fast!$C$96:$C$101,0),MATCH('Chart tables'!P$60,Fast!$G$38:$AF$38,0))*P$7+O281</f>
        <v>57658577.818580613</v>
      </c>
      <c r="Q281" s="125">
        <f>INDEX(Fast!$G$96:$AF$101,MATCH('Chart tables'!$B$206,Fast!$C$96:$C$101,0),MATCH('Chart tables'!Q$60,Fast!$G$38:$AF$38,0))*Q$7+P281</f>
        <v>42882661.769120917</v>
      </c>
      <c r="R281" s="125">
        <f>INDEX(Fast!$G$96:$AF$101,MATCH('Chart tables'!$B$206,Fast!$C$96:$C$101,0),MATCH('Chart tables'!R$60,Fast!$G$38:$AF$38,0))*R$7+Q281</f>
        <v>47661849.338626131</v>
      </c>
      <c r="S281" s="125">
        <f>INDEX(Fast!$G$96:$AF$101,MATCH('Chart tables'!$B$206,Fast!$C$96:$C$101,0),MATCH('Chart tables'!S$60,Fast!$G$38:$AF$38,0))*S$7+R281</f>
        <v>30446537.554136023</v>
      </c>
      <c r="T281" s="125">
        <f>INDEX(Fast!$G$96:$AF$101,MATCH('Chart tables'!$B$206,Fast!$C$96:$C$101,0),MATCH('Chart tables'!T$60,Fast!$G$38:$AF$38,0))*T$7+S281</f>
        <v>9688164.1433319896</v>
      </c>
      <c r="U281" s="125">
        <f>INDEX(Fast!$G$96:$AF$101,MATCH('Chart tables'!$B$206,Fast!$C$96:$C$101,0),MATCH('Chart tables'!U$60,Fast!$G$38:$AF$38,0))*U$7+T281</f>
        <v>14960110.571472734</v>
      </c>
      <c r="V281" s="125">
        <f>INDEX(Fast!$G$96:$AF$101,MATCH('Chart tables'!$B$206,Fast!$C$96:$C$101,0),MATCH('Chart tables'!V$60,Fast!$G$38:$AF$38,0))*V$7+U281</f>
        <v>17152246.069018204</v>
      </c>
      <c r="W281" s="125">
        <f>INDEX(Fast!$G$96:$AF$101,MATCH('Chart tables'!$B$206,Fast!$C$96:$C$101,0),MATCH('Chart tables'!W$60,Fast!$G$38:$AF$38,0))*W$7+V281</f>
        <v>10485921.286718179</v>
      </c>
      <c r="X281" s="125">
        <f>INDEX(Fast!$G$96:$AF$101,MATCH('Chart tables'!$B$206,Fast!$C$96:$C$101,0),MATCH('Chart tables'!X$60,Fast!$G$38:$AF$38,0))*X$7+W281</f>
        <v>6866411.3072551079</v>
      </c>
      <c r="Y281" s="125">
        <f>INDEX(Fast!$G$96:$AF$101,MATCH('Chart tables'!$B$206,Fast!$C$96:$C$101,0),MATCH('Chart tables'!Y$60,Fast!$G$38:$AF$38,0))*Y$7+X281</f>
        <v>7111014.461486686</v>
      </c>
      <c r="Z281" s="125">
        <f>INDEX(Fast!$G$96:$AF$101,MATCH('Chart tables'!$B$206,Fast!$C$96:$C$101,0),MATCH('Chart tables'!Z$60,Fast!$G$38:$AF$38,0))*Z$7+Y281</f>
        <v>9666415.5631284602</v>
      </c>
      <c r="AA281" s="125">
        <f>INDEX(Fast!$G$96:$AF$101,MATCH('Chart tables'!$B$206,Fast!$C$96:$C$101,0),MATCH('Chart tables'!AA$60,Fast!$G$38:$AF$38,0))*AA$7+Z281</f>
        <v>15829420.014292885</v>
      </c>
      <c r="AB281" s="125">
        <f>INDEX(Fast!$G$96:$AF$101,MATCH('Chart tables'!$B$206,Fast!$C$96:$C$101,0),MATCH('Chart tables'!AB$60,Fast!$G$38:$AF$38,0))*AB$7+AA281</f>
        <v>17957510.720072754</v>
      </c>
    </row>
    <row r="282" spans="2:31" s="161" customFormat="1" x14ac:dyDescent="0.2">
      <c r="B282" s="214" t="s">
        <v>182</v>
      </c>
      <c r="C282" s="215">
        <f>INDEX(Slow!$G$105:$AF$110,MATCH('Chart tables'!$B$60,Slow!$C$105:$C$110,0),MATCH('Chart tables'!C$60,Slow!$G$38:$AF$38,0))*C$7</f>
        <v>0</v>
      </c>
      <c r="D282" s="125">
        <f>INDEX(Fast!$G$105:$AF$110,MATCH('Chart tables'!$B$206,Fast!$C$105:$C$110,0),MATCH('Chart tables'!D$60,Fast!$G$38:$AF$38,0))*D$7+C282</f>
        <v>-12221.873394012451</v>
      </c>
      <c r="E282" s="125">
        <f>INDEX(Fast!$G$105:$AF$110,MATCH('Chart tables'!$B$206,Fast!$C$105:$C$110,0),MATCH('Chart tables'!E$60,Fast!$G$38:$AF$38,0))*E$7+D282</f>
        <v>-25218.212064504623</v>
      </c>
      <c r="F282" s="125">
        <f>INDEX(Fast!$G$105:$AF$110,MATCH('Chart tables'!$B$206,Fast!$C$105:$C$110,0),MATCH('Chart tables'!F$60,Fast!$G$38:$AF$38,0))*F$7+E282</f>
        <v>49116.77051281929</v>
      </c>
      <c r="G282" s="125">
        <f>INDEX(Fast!$G$105:$AF$110,MATCH('Chart tables'!$B$206,Fast!$C$105:$C$110,0),MATCH('Chart tables'!G$60,Fast!$G$38:$AF$38,0))*G$7+F282</f>
        <v>6651680.9551584721</v>
      </c>
      <c r="H282" s="125">
        <f>INDEX(Fast!$G$105:$AF$110,MATCH('Chart tables'!$B$206,Fast!$C$105:$C$110,0),MATCH('Chart tables'!H$60,Fast!$G$38:$AF$38,0))*H$7+G282</f>
        <v>18466516.983382225</v>
      </c>
      <c r="I282" s="125">
        <f>INDEX(Fast!$G$105:$AF$110,MATCH('Chart tables'!$B$206,Fast!$C$105:$C$110,0),MATCH('Chart tables'!I$60,Fast!$G$38:$AF$38,0))*I$7+H282</f>
        <v>14932616.403580427</v>
      </c>
      <c r="J282" s="125">
        <f>INDEX(Fast!$G$105:$AF$110,MATCH('Chart tables'!$B$206,Fast!$C$105:$C$110,0),MATCH('Chart tables'!J$60,Fast!$G$38:$AF$38,0))*J$7+I282</f>
        <v>15647524.390582561</v>
      </c>
      <c r="K282" s="125">
        <f>INDEX(Fast!$G$105:$AF$110,MATCH('Chart tables'!$B$206,Fast!$C$105:$C$110,0),MATCH('Chart tables'!K$60,Fast!$G$38:$AF$38,0))*K$7+J282</f>
        <v>20089916.272201538</v>
      </c>
      <c r="L282" s="125">
        <f>INDEX(Fast!$G$105:$AF$110,MATCH('Chart tables'!$B$206,Fast!$C$105:$C$110,0),MATCH('Chart tables'!L$60,Fast!$G$38:$AF$38,0))*L$7+K282</f>
        <v>24541536.291313648</v>
      </c>
      <c r="M282" s="125">
        <f>INDEX(Fast!$G$105:$AF$110,MATCH('Chart tables'!$B$206,Fast!$C$105:$C$110,0),MATCH('Chart tables'!M$60,Fast!$G$38:$AF$38,0))*M$7+L282</f>
        <v>29176031.738914728</v>
      </c>
      <c r="N282" s="125">
        <f>INDEX(Fast!$G$105:$AF$110,MATCH('Chart tables'!$B$206,Fast!$C$105:$C$110,0),MATCH('Chart tables'!N$60,Fast!$G$38:$AF$38,0))*N$7+M282</f>
        <v>28123738.037799835</v>
      </c>
      <c r="O282" s="125">
        <f>INDEX(Fast!$G$105:$AF$110,MATCH('Chart tables'!$B$206,Fast!$C$105:$C$110,0),MATCH('Chart tables'!O$60,Fast!$G$38:$AF$38,0))*O$7+N282</f>
        <v>25953991.757791519</v>
      </c>
      <c r="P282" s="125">
        <f>INDEX(Fast!$G$105:$AF$110,MATCH('Chart tables'!$B$206,Fast!$C$105:$C$110,0),MATCH('Chart tables'!P$60,Fast!$G$38:$AF$38,0))*P$7+O282</f>
        <v>27492418.566175699</v>
      </c>
      <c r="Q282" s="125">
        <f>INDEX(Fast!$G$105:$AF$110,MATCH('Chart tables'!$B$206,Fast!$C$105:$C$110,0),MATCH('Chart tables'!Q$60,Fast!$G$38:$AF$38,0))*Q$7+P282</f>
        <v>36018112.074551344</v>
      </c>
      <c r="R282" s="125">
        <f>INDEX(Fast!$G$105:$AF$110,MATCH('Chart tables'!$B$206,Fast!$C$105:$C$110,0),MATCH('Chart tables'!R$60,Fast!$G$38:$AF$38,0))*R$7+Q282</f>
        <v>31292826.579038858</v>
      </c>
      <c r="S282" s="125">
        <f>INDEX(Fast!$G$105:$AF$110,MATCH('Chart tables'!$B$206,Fast!$C$105:$C$110,0),MATCH('Chart tables'!S$60,Fast!$G$38:$AF$38,0))*S$7+R282</f>
        <v>26797867.225622058</v>
      </c>
      <c r="T282" s="125">
        <f>INDEX(Fast!$G$105:$AF$110,MATCH('Chart tables'!$B$206,Fast!$C$105:$C$110,0),MATCH('Chart tables'!T$60,Fast!$G$38:$AF$38,0))*T$7+S282</f>
        <v>27393398.512111068</v>
      </c>
      <c r="U282" s="125">
        <f>INDEX(Fast!$G$105:$AF$110,MATCH('Chart tables'!$B$206,Fast!$C$105:$C$110,0),MATCH('Chart tables'!U$60,Fast!$G$38:$AF$38,0))*U$7+T282</f>
        <v>29021805.351145625</v>
      </c>
      <c r="V282" s="125">
        <f>INDEX(Fast!$G$105:$AF$110,MATCH('Chart tables'!$B$206,Fast!$C$105:$C$110,0),MATCH('Chart tables'!V$60,Fast!$G$38:$AF$38,0))*V$7+U282</f>
        <v>28591258.438809991</v>
      </c>
      <c r="W282" s="125">
        <f>INDEX(Fast!$G$105:$AF$110,MATCH('Chart tables'!$B$206,Fast!$C$105:$C$110,0),MATCH('Chart tables'!W$60,Fast!$G$38:$AF$38,0))*W$7+V282</f>
        <v>25487531.800394177</v>
      </c>
      <c r="X282" s="125">
        <f>INDEX(Fast!$G$105:$AF$110,MATCH('Chart tables'!$B$206,Fast!$C$105:$C$110,0),MATCH('Chart tables'!X$60,Fast!$G$38:$AF$38,0))*X$7+W282</f>
        <v>23523258.856399894</v>
      </c>
      <c r="Y282" s="125">
        <f>INDEX(Fast!$G$105:$AF$110,MATCH('Chart tables'!$B$206,Fast!$C$105:$C$110,0),MATCH('Chart tables'!Y$60,Fast!$G$38:$AF$38,0))*Y$7+X282</f>
        <v>23206693.474102855</v>
      </c>
      <c r="Z282" s="125">
        <f>INDEX(Fast!$G$105:$AF$110,MATCH('Chart tables'!$B$206,Fast!$C$105:$C$110,0),MATCH('Chart tables'!Z$60,Fast!$G$38:$AF$38,0))*Z$7+Y282</f>
        <v>20730477.920185685</v>
      </c>
      <c r="AA282" s="125">
        <f>INDEX(Fast!$G$105:$AF$110,MATCH('Chart tables'!$B$206,Fast!$C$105:$C$110,0),MATCH('Chart tables'!AA$60,Fast!$G$38:$AF$38,0))*AA$7+Z282</f>
        <v>16323740.119895697</v>
      </c>
      <c r="AB282" s="125">
        <f>INDEX(Fast!$G$105:$AF$110,MATCH('Chart tables'!$B$206,Fast!$C$105:$C$110,0),MATCH('Chart tables'!AB$60,Fast!$G$38:$AF$38,0))*AB$7+AA282</f>
        <v>17373843.184556365</v>
      </c>
    </row>
    <row r="283" spans="2:31" s="161" customFormat="1" x14ac:dyDescent="0.2">
      <c r="B283" s="214" t="s">
        <v>184</v>
      </c>
      <c r="C283" s="215">
        <f>INDEX(Slow!$G$114:$AF$119,MATCH('Chart tables'!$B$60,Slow!$C$114:$C$119,0),MATCH('Chart tables'!C$60,Slow!$G$38:$AF$38,0))*C$7</f>
        <v>0</v>
      </c>
      <c r="D283" s="125">
        <f>INDEX(Fast!$G$114:$AF$119,MATCH('Chart tables'!$B$206,Fast!$C$114:$C$119,0),MATCH('Chart tables'!D$60,Fast!$G$38:$AF$38,0))*D$7+C283</f>
        <v>-108.64193096011877</v>
      </c>
      <c r="E283" s="125">
        <f>INDEX(Fast!$G$114:$AF$119,MATCH('Chart tables'!$B$206,Fast!$C$114:$C$119,0),MATCH('Chart tables'!E$60,Fast!$G$38:$AF$38,0))*E$7+D283</f>
        <v>-222.7426159560855</v>
      </c>
      <c r="F283" s="125">
        <f>INDEX(Fast!$G$114:$AF$119,MATCH('Chart tables'!$B$206,Fast!$C$114:$C$119,0),MATCH('Chart tables'!F$60,Fast!$G$38:$AF$38,0))*F$7+E283</f>
        <v>-462.2898065445188</v>
      </c>
      <c r="G283" s="125">
        <f>INDEX(Fast!$G$114:$AF$119,MATCH('Chart tables'!$B$206,Fast!$C$114:$C$119,0),MATCH('Chart tables'!G$60,Fast!$G$38:$AF$38,0))*G$7+F283</f>
        <v>-2355.915324258589</v>
      </c>
      <c r="H283" s="125">
        <f>INDEX(Fast!$G$114:$AF$119,MATCH('Chart tables'!$B$206,Fast!$C$114:$C$119,0),MATCH('Chart tables'!H$60,Fast!$G$38:$AF$38,0))*H$7+G283</f>
        <v>-2494.3232818794877</v>
      </c>
      <c r="I283" s="125">
        <f>INDEX(Fast!$G$114:$AF$119,MATCH('Chart tables'!$B$206,Fast!$C$114:$C$119,0),MATCH('Chart tables'!I$60,Fast!$G$38:$AF$38,0))*I$7+H283</f>
        <v>-2642.3476388906374</v>
      </c>
      <c r="J283" s="125">
        <f>INDEX(Fast!$G$114:$AF$119,MATCH('Chart tables'!$B$206,Fast!$C$114:$C$119,0),MATCH('Chart tables'!J$60,Fast!$G$38:$AF$38,0))*J$7+I283</f>
        <v>-2799.8264409863141</v>
      </c>
      <c r="K283" s="125">
        <f>INDEX(Fast!$G$114:$AF$119,MATCH('Chart tables'!$B$206,Fast!$C$114:$C$119,0),MATCH('Chart tables'!K$60,Fast!$G$38:$AF$38,0))*K$7+J283</f>
        <v>-2966.6107130794371</v>
      </c>
      <c r="L283" s="125">
        <f>INDEX(Fast!$G$114:$AF$119,MATCH('Chart tables'!$B$206,Fast!$C$114:$C$119,0),MATCH('Chart tables'!L$60,Fast!$G$38:$AF$38,0))*L$7+K283</f>
        <v>-3144.5260409639086</v>
      </c>
      <c r="M283" s="125">
        <f>INDEX(Fast!$G$114:$AF$119,MATCH('Chart tables'!$B$206,Fast!$C$114:$C$119,0),MATCH('Chart tables'!M$60,Fast!$G$38:$AF$38,0))*M$7+L283</f>
        <v>-3334.2759567327084</v>
      </c>
      <c r="N283" s="125">
        <f>INDEX(Fast!$G$114:$AF$119,MATCH('Chart tables'!$B$206,Fast!$C$114:$C$119,0),MATCH('Chart tables'!N$60,Fast!$G$38:$AF$38,0))*N$7+M283</f>
        <v>-3438.6906141468075</v>
      </c>
      <c r="O283" s="125">
        <f>INDEX(Fast!$G$114:$AF$119,MATCH('Chart tables'!$B$206,Fast!$C$114:$C$119,0),MATCH('Chart tables'!O$60,Fast!$G$38:$AF$38,0))*O$7+N283</f>
        <v>15879.351300228458</v>
      </c>
      <c r="P283" s="125">
        <f>INDEX(Fast!$G$114:$AF$119,MATCH('Chart tables'!$B$206,Fast!$C$114:$C$119,0),MATCH('Chart tables'!P$60,Fast!$G$38:$AF$38,0))*P$7+O283</f>
        <v>-108791.74885511787</v>
      </c>
      <c r="Q283" s="125">
        <f>INDEX(Fast!$G$114:$AF$119,MATCH('Chart tables'!$B$206,Fast!$C$114:$C$119,0),MATCH('Chart tables'!Q$60,Fast!$G$38:$AF$38,0))*Q$7+P283</f>
        <v>-109032.75310952972</v>
      </c>
      <c r="R283" s="125">
        <f>INDEX(Fast!$G$114:$AF$119,MATCH('Chart tables'!$B$206,Fast!$C$114:$C$119,0),MATCH('Chart tables'!R$60,Fast!$G$38:$AF$38,0))*R$7+Q283</f>
        <v>409314.4160559912</v>
      </c>
      <c r="S283" s="125">
        <f>INDEX(Fast!$G$114:$AF$119,MATCH('Chart tables'!$B$206,Fast!$C$114:$C$119,0),MATCH('Chart tables'!S$60,Fast!$G$38:$AF$38,0))*S$7+R283</f>
        <v>368773.20893190277</v>
      </c>
      <c r="T283" s="125">
        <f>INDEX(Fast!$G$114:$AF$119,MATCH('Chart tables'!$B$206,Fast!$C$114:$C$119,0),MATCH('Chart tables'!T$60,Fast!$G$38:$AF$38,0))*T$7+S283</f>
        <v>395368.47618464602</v>
      </c>
      <c r="U283" s="125">
        <f>INDEX(Fast!$G$114:$AF$119,MATCH('Chart tables'!$B$206,Fast!$C$114:$C$119,0),MATCH('Chart tables'!U$60,Fast!$G$38:$AF$38,0))*U$7+T283</f>
        <v>395067.06161746598</v>
      </c>
      <c r="V283" s="125">
        <f>INDEX(Fast!$G$114:$AF$119,MATCH('Chart tables'!$B$206,Fast!$C$114:$C$119,0),MATCH('Chart tables'!V$60,Fast!$G$38:$AF$38,0))*V$7+U283</f>
        <v>403704.88214278809</v>
      </c>
      <c r="W283" s="125">
        <f>INDEX(Fast!$G$114:$AF$119,MATCH('Chart tables'!$B$206,Fast!$C$114:$C$119,0),MATCH('Chart tables'!W$60,Fast!$G$38:$AF$38,0))*W$7+V283</f>
        <v>403366.31244148937</v>
      </c>
      <c r="X283" s="125">
        <f>INDEX(Fast!$G$114:$AF$119,MATCH('Chart tables'!$B$206,Fast!$C$114:$C$119,0),MATCH('Chart tables'!X$60,Fast!$G$38:$AF$38,0))*X$7+W283</f>
        <v>86455.804380113899</v>
      </c>
      <c r="Y283" s="125">
        <f>INDEX(Fast!$G$114:$AF$119,MATCH('Chart tables'!$B$206,Fast!$C$114:$C$119,0),MATCH('Chart tables'!Y$60,Fast!$G$38:$AF$38,0))*Y$7+X283</f>
        <v>88990.174297953665</v>
      </c>
      <c r="Z283" s="125">
        <f>INDEX(Fast!$G$114:$AF$119,MATCH('Chart tables'!$B$206,Fast!$C$114:$C$119,0),MATCH('Chart tables'!Z$60,Fast!$G$38:$AF$38,0))*Z$7+Y283</f>
        <v>55138.740729881625</v>
      </c>
      <c r="AA283" s="125">
        <f>INDEX(Fast!$G$114:$AF$119,MATCH('Chart tables'!$B$206,Fast!$C$114:$C$119,0),MATCH('Chart tables'!AA$60,Fast!$G$38:$AF$38,0))*AA$7+Z283</f>
        <v>579928.1455197467</v>
      </c>
      <c r="AB283" s="125">
        <f>INDEX(Fast!$G$114:$AF$119,MATCH('Chart tables'!$B$206,Fast!$C$114:$C$119,0),MATCH('Chart tables'!AB$60,Fast!$G$38:$AF$38,0))*AB$7+AA283</f>
        <v>-1388615.5970696972</v>
      </c>
    </row>
    <row r="284" spans="2:31" s="161" customFormat="1" x14ac:dyDescent="0.2">
      <c r="B284" s="214" t="s">
        <v>183</v>
      </c>
      <c r="C284" s="215">
        <f>INDEX(Slow!$G$123:$AF$128,MATCH('Chart tables'!$B$60,Slow!$C$123:$C$128,0),MATCH('Chart tables'!C$60,Slow!$G$38:$AF$38,0))*C$7</f>
        <v>0</v>
      </c>
      <c r="D284" s="125">
        <f>INDEX(Fast!$G$123:$AF$128,MATCH('Chart tables'!$B$206,Fast!$C$123:$C$128,0),MATCH('Chart tables'!D$60,Fast!$G$38:$AF$38,0))*D$7+C284</f>
        <v>-3103.9079592227936</v>
      </c>
      <c r="E284" s="125">
        <f>INDEX(Fast!$G$123:$AF$128,MATCH('Chart tables'!$B$206,Fast!$C$123:$C$128,0),MATCH('Chart tables'!E$60,Fast!$G$38:$AF$38,0))*E$7+D284</f>
        <v>-10417.83460354805</v>
      </c>
      <c r="F284" s="125">
        <f>INDEX(Fast!$G$123:$AF$128,MATCH('Chart tables'!$B$206,Fast!$C$123:$C$128,0),MATCH('Chart tables'!F$60,Fast!$G$38:$AF$38,0))*F$7+E284</f>
        <v>-709559.92059350014</v>
      </c>
      <c r="G284" s="125">
        <f>INDEX(Fast!$G$123:$AF$128,MATCH('Chart tables'!$B$206,Fast!$C$123:$C$128,0),MATCH('Chart tables'!G$60,Fast!$G$38:$AF$38,0))*G$7+F284</f>
        <v>-40744296.923584104</v>
      </c>
      <c r="H284" s="125">
        <f>INDEX(Fast!$G$123:$AF$128,MATCH('Chart tables'!$B$206,Fast!$C$123:$C$128,0),MATCH('Chart tables'!H$60,Fast!$G$38:$AF$38,0))*H$7+G284</f>
        <v>-42148781.239828944</v>
      </c>
      <c r="I284" s="125">
        <f>INDEX(Fast!$G$123:$AF$128,MATCH('Chart tables'!$B$206,Fast!$C$123:$C$128,0),MATCH('Chart tables'!I$60,Fast!$G$38:$AF$38,0))*I$7+H284</f>
        <v>376419791.39874756</v>
      </c>
      <c r="J284" s="125">
        <f>INDEX(Fast!$G$123:$AF$128,MATCH('Chart tables'!$B$206,Fast!$C$123:$C$128,0),MATCH('Chart tables'!J$60,Fast!$G$38:$AF$38,0))*J$7+I284</f>
        <v>246791816.9155246</v>
      </c>
      <c r="K284" s="125">
        <f>INDEX(Fast!$G$123:$AF$128,MATCH('Chart tables'!$B$206,Fast!$C$123:$C$128,0),MATCH('Chart tables'!K$60,Fast!$G$38:$AF$38,0))*K$7+J284</f>
        <v>186454216.58445275</v>
      </c>
      <c r="L284" s="125">
        <f>INDEX(Fast!$G$123:$AF$128,MATCH('Chart tables'!$B$206,Fast!$C$123:$C$128,0),MATCH('Chart tables'!L$60,Fast!$G$38:$AF$38,0))*L$7+K284</f>
        <v>160685040.91766131</v>
      </c>
      <c r="M284" s="125">
        <f>INDEX(Fast!$G$123:$AF$128,MATCH('Chart tables'!$B$206,Fast!$C$123:$C$128,0),MATCH('Chart tables'!M$60,Fast!$G$38:$AF$38,0))*M$7+L284</f>
        <v>259922037.93024409</v>
      </c>
      <c r="N284" s="125">
        <f>INDEX(Fast!$G$123:$AF$128,MATCH('Chart tables'!$B$206,Fast!$C$123:$C$128,0),MATCH('Chart tables'!N$60,Fast!$G$38:$AF$38,0))*N$7+M284</f>
        <v>312232241.81008518</v>
      </c>
      <c r="O284" s="125">
        <f>INDEX(Fast!$G$123:$AF$128,MATCH('Chart tables'!$B$206,Fast!$C$123:$C$128,0),MATCH('Chart tables'!O$60,Fast!$G$38:$AF$38,0))*O$7+N284</f>
        <v>389812065.69811904</v>
      </c>
      <c r="P284" s="125">
        <f>INDEX(Fast!$G$123:$AF$128,MATCH('Chart tables'!$B$206,Fast!$C$123:$C$128,0),MATCH('Chart tables'!P$60,Fast!$G$38:$AF$38,0))*P$7+O284</f>
        <v>383741071.61559188</v>
      </c>
      <c r="Q284" s="125">
        <f>INDEX(Fast!$G$123:$AF$128,MATCH('Chart tables'!$B$206,Fast!$C$123:$C$128,0),MATCH('Chart tables'!Q$60,Fast!$G$38:$AF$38,0))*Q$7+P284</f>
        <v>158055724.30214489</v>
      </c>
      <c r="R284" s="125">
        <f>INDEX(Fast!$G$123:$AF$128,MATCH('Chart tables'!$B$206,Fast!$C$123:$C$128,0),MATCH('Chart tables'!R$60,Fast!$G$38:$AF$38,0))*R$7+Q284</f>
        <v>297084933.39979064</v>
      </c>
      <c r="S284" s="125">
        <f>INDEX(Fast!$G$123:$AF$128,MATCH('Chart tables'!$B$206,Fast!$C$123:$C$128,0),MATCH('Chart tables'!S$60,Fast!$G$38:$AF$38,0))*S$7+R284</f>
        <v>337684497.94416082</v>
      </c>
      <c r="T284" s="125">
        <f>INDEX(Fast!$G$123:$AF$128,MATCH('Chart tables'!$B$206,Fast!$C$123:$C$128,0),MATCH('Chart tables'!T$60,Fast!$G$38:$AF$38,0))*T$7+S284</f>
        <v>206597882.42671335</v>
      </c>
      <c r="U284" s="125">
        <f>INDEX(Fast!$G$123:$AF$128,MATCH('Chart tables'!$B$206,Fast!$C$123:$C$128,0),MATCH('Chart tables'!U$60,Fast!$G$38:$AF$38,0))*U$7+T284</f>
        <v>156984178.17386019</v>
      </c>
      <c r="V284" s="125">
        <f>INDEX(Fast!$G$123:$AF$128,MATCH('Chart tables'!$B$206,Fast!$C$123:$C$128,0),MATCH('Chart tables'!V$60,Fast!$G$38:$AF$38,0))*V$7+U284</f>
        <v>175415735.09756064</v>
      </c>
      <c r="W284" s="125">
        <f>INDEX(Fast!$G$123:$AF$128,MATCH('Chart tables'!$B$206,Fast!$C$123:$C$128,0),MATCH('Chart tables'!W$60,Fast!$G$38:$AF$38,0))*W$7+V284</f>
        <v>215599833.09845018</v>
      </c>
      <c r="X284" s="125">
        <f>INDEX(Fast!$G$123:$AF$128,MATCH('Chart tables'!$B$206,Fast!$C$123:$C$128,0),MATCH('Chart tables'!X$60,Fast!$G$38:$AF$38,0))*X$7+W284</f>
        <v>208800254.11905527</v>
      </c>
      <c r="Y284" s="125">
        <f>INDEX(Fast!$G$123:$AF$128,MATCH('Chart tables'!$B$206,Fast!$C$123:$C$128,0),MATCH('Chart tables'!Y$60,Fast!$G$38:$AF$38,0))*Y$7+X284</f>
        <v>189616747.51807165</v>
      </c>
      <c r="Z284" s="125">
        <f>INDEX(Fast!$G$123:$AF$128,MATCH('Chart tables'!$B$206,Fast!$C$123:$C$128,0),MATCH('Chart tables'!Z$60,Fast!$G$38:$AF$38,0))*Z$7+Y284</f>
        <v>182683168.2134459</v>
      </c>
      <c r="AA284" s="125">
        <f>INDEX(Fast!$G$123:$AF$128,MATCH('Chart tables'!$B$206,Fast!$C$123:$C$128,0),MATCH('Chart tables'!AA$60,Fast!$G$38:$AF$38,0))*AA$7+Z284</f>
        <v>188101432.43368864</v>
      </c>
      <c r="AB284" s="125">
        <f>INDEX(Fast!$G$123:$AF$128,MATCH('Chart tables'!$B$206,Fast!$C$123:$C$128,0),MATCH('Chart tables'!AB$60,Fast!$G$38:$AF$38,0))*AB$7+AA284</f>
        <v>173929429.73083603</v>
      </c>
    </row>
    <row r="285" spans="2:31" s="161" customFormat="1" x14ac:dyDescent="0.2"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D285" s="126"/>
      <c r="AE285" s="126"/>
    </row>
    <row r="286" spans="2:31" s="161" customFormat="1" x14ac:dyDescent="0.2"/>
    <row r="287" spans="2:31" s="161" customFormat="1" x14ac:dyDescent="0.2"/>
    <row r="288" spans="2:31" s="161" customFormat="1" x14ac:dyDescent="0.2"/>
    <row r="289" spans="1:28" s="161" customFormat="1" x14ac:dyDescent="0.2"/>
    <row r="290" spans="1:28" s="161" customFormat="1" x14ac:dyDescent="0.2"/>
    <row r="291" spans="1:28" s="161" customFormat="1" x14ac:dyDescent="0.2"/>
    <row r="292" spans="1:28" s="161" customFormat="1" x14ac:dyDescent="0.2"/>
    <row r="293" spans="1:28" s="161" customFormat="1" x14ac:dyDescent="0.2"/>
    <row r="294" spans="1:28" s="161" customFormat="1" x14ac:dyDescent="0.2"/>
    <row r="295" spans="1:28" s="161" customFormat="1" x14ac:dyDescent="0.2"/>
    <row r="296" spans="1:28" s="161" customFormat="1" x14ac:dyDescent="0.2"/>
    <row r="297" spans="1:28" s="161" customFormat="1" x14ac:dyDescent="0.2"/>
    <row r="298" spans="1:28" s="161" customFormat="1" x14ac:dyDescent="0.2"/>
    <row r="299" spans="1:28" s="161" customFormat="1" x14ac:dyDescent="0.2"/>
    <row r="300" spans="1:28" s="161" customFormat="1" x14ac:dyDescent="0.2"/>
    <row r="301" spans="1:28" s="161" customFormat="1" x14ac:dyDescent="0.2"/>
    <row r="302" spans="1:28" ht="15.75" x14ac:dyDescent="0.25">
      <c r="A302" s="161"/>
      <c r="B302" s="209" t="s">
        <v>87</v>
      </c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  <c r="AA302" s="195"/>
      <c r="AB302" s="195"/>
    </row>
    <row r="303" spans="1:28" x14ac:dyDescent="0.2">
      <c r="A303" s="161"/>
      <c r="F303" s="233"/>
      <c r="K303" s="259"/>
      <c r="L303" s="260"/>
      <c r="M303" s="260"/>
      <c r="N303" s="260"/>
      <c r="O303" s="260"/>
      <c r="P303" s="261"/>
      <c r="Q303" s="261"/>
      <c r="R303" s="261"/>
    </row>
    <row r="304" spans="1:28" x14ac:dyDescent="0.2">
      <c r="A304" s="161"/>
      <c r="B304" s="206" t="s">
        <v>53</v>
      </c>
      <c r="C304" s="121" t="s">
        <v>38</v>
      </c>
      <c r="D304" s="121" t="s">
        <v>95</v>
      </c>
      <c r="K304" s="259"/>
      <c r="L304" s="262"/>
      <c r="M304" s="262"/>
      <c r="N304" s="262"/>
      <c r="O304" s="262"/>
      <c r="P304" s="261"/>
      <c r="Q304" s="261"/>
      <c r="R304" s="261"/>
    </row>
    <row r="305" spans="1:18" x14ac:dyDescent="0.2">
      <c r="A305" s="161"/>
      <c r="B305" s="214" t="str">
        <f>'Option inputs'!$C$15</f>
        <v>Option 1A</v>
      </c>
      <c r="C305" s="125">
        <f>Weighted!F14/1000000</f>
        <v>32.568426341301262</v>
      </c>
      <c r="D305" s="125">
        <f>RANK(C305,$C$305:$C$310)</f>
        <v>1</v>
      </c>
      <c r="E305" s="175"/>
      <c r="K305" s="263"/>
      <c r="L305" s="258"/>
      <c r="M305" s="264"/>
      <c r="N305" s="258"/>
      <c r="O305" s="264"/>
      <c r="P305" s="261"/>
      <c r="Q305" s="258"/>
      <c r="R305" s="261"/>
    </row>
    <row r="306" spans="1:18" x14ac:dyDescent="0.2">
      <c r="A306" s="161"/>
      <c r="B306" s="214" t="str">
        <f>'Option inputs'!$C$16</f>
        <v>Option 1B</v>
      </c>
      <c r="C306" s="125">
        <f>Weighted!F15/1000000</f>
        <v>-40.215168709111225</v>
      </c>
      <c r="D306" s="125">
        <f t="shared" ref="D306:D310" si="17">RANK(C306,$C$305:$C$310)</f>
        <v>4</v>
      </c>
      <c r="E306" s="175"/>
      <c r="K306" s="263"/>
      <c r="L306" s="258"/>
      <c r="M306" s="264"/>
      <c r="N306" s="258"/>
      <c r="O306" s="264"/>
      <c r="P306" s="261"/>
      <c r="Q306" s="261"/>
      <c r="R306" s="261"/>
    </row>
    <row r="307" spans="1:18" x14ac:dyDescent="0.2">
      <c r="A307" s="161"/>
      <c r="B307" s="214" t="str">
        <f>'Option inputs'!$C$17</f>
        <v>Option 2</v>
      </c>
      <c r="C307" s="125">
        <f>Weighted!F16/1000000</f>
        <v>-97.236048819124264</v>
      </c>
      <c r="D307" s="125">
        <f t="shared" si="17"/>
        <v>6</v>
      </c>
      <c r="E307" s="175"/>
      <c r="K307" s="263"/>
      <c r="L307" s="258"/>
      <c r="M307" s="264"/>
      <c r="N307" s="258"/>
      <c r="O307" s="264"/>
      <c r="P307" s="261"/>
      <c r="Q307" s="261"/>
      <c r="R307" s="261"/>
    </row>
    <row r="308" spans="1:18" x14ac:dyDescent="0.2">
      <c r="A308" s="161"/>
      <c r="B308" s="214" t="str">
        <f>'Option inputs'!$C$18</f>
        <v>Option 3</v>
      </c>
      <c r="C308" s="125">
        <f>Weighted!F17/1000000</f>
        <v>-6.6810753329172767</v>
      </c>
      <c r="D308" s="125">
        <f t="shared" si="17"/>
        <v>2</v>
      </c>
      <c r="E308" s="175"/>
      <c r="K308" s="263"/>
      <c r="L308" s="258"/>
      <c r="M308" s="264"/>
      <c r="N308" s="258"/>
      <c r="O308" s="264"/>
      <c r="P308" s="261"/>
      <c r="Q308" s="261"/>
      <c r="R308" s="261"/>
    </row>
    <row r="309" spans="1:18" x14ac:dyDescent="0.2">
      <c r="A309" s="161"/>
      <c r="B309" s="214" t="str">
        <f>'Option inputs'!$C$19</f>
        <v>Option 4</v>
      </c>
      <c r="C309" s="125">
        <f>Weighted!F18/1000000</f>
        <v>-44.008749419036668</v>
      </c>
      <c r="D309" s="125">
        <f t="shared" si="17"/>
        <v>5</v>
      </c>
      <c r="E309" s="175"/>
      <c r="K309" s="263"/>
      <c r="L309" s="258"/>
      <c r="M309" s="264"/>
      <c r="N309" s="258"/>
      <c r="O309" s="264"/>
      <c r="P309" s="261"/>
      <c r="Q309" s="261"/>
      <c r="R309" s="261"/>
    </row>
    <row r="310" spans="1:18" x14ac:dyDescent="0.2">
      <c r="A310" s="161"/>
      <c r="B310" s="214" t="str">
        <f>'Option inputs'!$C$20</f>
        <v>Option 5</v>
      </c>
      <c r="C310" s="125">
        <f>Weighted!F19/1000000</f>
        <v>-28.876330161726578</v>
      </c>
      <c r="D310" s="125">
        <f t="shared" si="17"/>
        <v>3</v>
      </c>
      <c r="E310" s="175"/>
      <c r="K310" s="263"/>
      <c r="L310" s="258"/>
      <c r="M310" s="264"/>
      <c r="N310" s="258"/>
      <c r="O310" s="264"/>
      <c r="P310" s="261"/>
      <c r="Q310" s="261"/>
      <c r="R310" s="261"/>
    </row>
    <row r="311" spans="1:18" x14ac:dyDescent="0.2">
      <c r="A311" s="161"/>
      <c r="K311" s="261"/>
      <c r="L311" s="261"/>
      <c r="M311" s="261"/>
      <c r="N311" s="261"/>
      <c r="O311" s="261"/>
      <c r="P311" s="261"/>
      <c r="Q311" s="261"/>
      <c r="R311" s="261"/>
    </row>
    <row r="312" spans="1:18" x14ac:dyDescent="0.2">
      <c r="A312" s="161"/>
      <c r="H312" s="161"/>
      <c r="K312" s="261"/>
      <c r="L312" s="261"/>
      <c r="M312" s="261"/>
      <c r="N312" s="261"/>
      <c r="O312" s="261"/>
      <c r="P312" s="261"/>
      <c r="Q312" s="261"/>
      <c r="R312" s="261"/>
    </row>
    <row r="313" spans="1:18" x14ac:dyDescent="0.2">
      <c r="A313" s="161"/>
      <c r="K313" s="261"/>
      <c r="L313" s="261"/>
      <c r="M313" s="261"/>
      <c r="N313" s="261"/>
      <c r="O313" s="261"/>
      <c r="P313" s="261"/>
      <c r="Q313" s="261"/>
      <c r="R313" s="261"/>
    </row>
    <row r="314" spans="1:18" x14ac:dyDescent="0.2">
      <c r="A314" s="161"/>
    </row>
    <row r="328" spans="2:14" x14ac:dyDescent="0.2">
      <c r="B328" s="206" t="s">
        <v>53</v>
      </c>
      <c r="C328" s="121" t="s">
        <v>38</v>
      </c>
      <c r="D328" s="206" t="str">
        <f t="shared" ref="D328:J328" si="18">D36</f>
        <v>Transmission capex</v>
      </c>
      <c r="E328" s="206" t="str">
        <f t="shared" si="18"/>
        <v>Transmission opex</v>
      </c>
      <c r="F328" s="206" t="str">
        <f t="shared" si="18"/>
        <v>Avoided unserved energy</v>
      </c>
      <c r="G328" s="206" t="str">
        <f t="shared" si="18"/>
        <v>Avoided transmission capex</v>
      </c>
      <c r="H328" s="206" t="str">
        <f t="shared" si="18"/>
        <v>Avoided fuel costs</v>
      </c>
      <c r="I328" s="206" t="str">
        <f t="shared" si="18"/>
        <v>Avoided voluntary load curtailment</v>
      </c>
      <c r="J328" s="206" t="str">
        <f t="shared" si="18"/>
        <v>Avoided generation/storage costs</v>
      </c>
      <c r="K328" s="121" t="s">
        <v>207</v>
      </c>
      <c r="L328" s="121" t="s">
        <v>208</v>
      </c>
    </row>
    <row r="329" spans="2:14" x14ac:dyDescent="0.2">
      <c r="B329" s="214" t="str">
        <f>'Option inputs'!$C$15</f>
        <v>Option 1A</v>
      </c>
      <c r="C329" s="198">
        <f>Weighted!F14/1000000</f>
        <v>32.568426341301262</v>
      </c>
      <c r="D329" s="198">
        <f>Weighted!F49/1000000</f>
        <v>-146.82486483058929</v>
      </c>
      <c r="E329" s="198">
        <f>Weighted!F58/1000000</f>
        <v>-20.378268720397383</v>
      </c>
      <c r="F329" s="198">
        <f>Weighted!F78/1000000</f>
        <v>-8.1323904421670292</v>
      </c>
      <c r="G329" s="198">
        <f>Weighted!F87/1000000</f>
        <v>26.163456968169417</v>
      </c>
      <c r="H329" s="198">
        <f>Weighted!F96/1000000</f>
        <v>71.692503215912708</v>
      </c>
      <c r="I329" s="198">
        <f>Weighted!F105/1000000</f>
        <v>0.83634332777955533</v>
      </c>
      <c r="J329" s="198">
        <f>Weighted!F114/1000000</f>
        <v>109.21164682259328</v>
      </c>
      <c r="K329" s="198">
        <f>Weighted!F123/1000000</f>
        <v>0</v>
      </c>
      <c r="L329" s="198">
        <f>Weighted!F132/1000000</f>
        <v>0</v>
      </c>
      <c r="M329" s="149"/>
      <c r="N329" s="149"/>
    </row>
    <row r="330" spans="2:14" x14ac:dyDescent="0.2">
      <c r="B330" s="214" t="str">
        <f>'Option inputs'!$C$16</f>
        <v>Option 1B</v>
      </c>
      <c r="C330" s="198">
        <f>Weighted!F15/1000000</f>
        <v>-40.215168709111225</v>
      </c>
      <c r="D330" s="198">
        <f>Weighted!F50/1000000</f>
        <v>-210.72314840101808</v>
      </c>
      <c r="E330" s="198">
        <f>Weighted!F59/1000000</f>
        <v>-29.263580200381078</v>
      </c>
      <c r="F330" s="198">
        <f>Weighted!F79/1000000</f>
        <v>-8.1323904421670292</v>
      </c>
      <c r="G330" s="198">
        <f>Weighted!F88/1000000</f>
        <v>26.163456968169417</v>
      </c>
      <c r="H330" s="198">
        <f>Weighted!F97/1000000</f>
        <v>71.692503215912708</v>
      </c>
      <c r="I330" s="198">
        <f>Weighted!F106/1000000</f>
        <v>0.83634332777955533</v>
      </c>
      <c r="J330" s="198">
        <f>Weighted!F115/1000000</f>
        <v>109.21164682259328</v>
      </c>
      <c r="K330" s="198">
        <f>Weighted!F124/1000000</f>
        <v>0</v>
      </c>
      <c r="L330" s="198">
        <f>Weighted!F133/1000000</f>
        <v>0</v>
      </c>
    </row>
    <row r="331" spans="2:14" x14ac:dyDescent="0.2">
      <c r="B331" s="214" t="str">
        <f>'Option inputs'!$C$17</f>
        <v>Option 2</v>
      </c>
      <c r="C331" s="198">
        <f>Weighted!F16/1000000</f>
        <v>-97.236048819124264</v>
      </c>
      <c r="D331" s="198">
        <f>Weighted!F51/1000000</f>
        <v>-273.20917512823519</v>
      </c>
      <c r="E331" s="198">
        <f>Weighted!F60/1000000</f>
        <v>-37.955732735147741</v>
      </c>
      <c r="F331" s="198">
        <f>Weighted!F80/1000000</f>
        <v>-8.2097757640447551</v>
      </c>
      <c r="G331" s="198">
        <f>Weighted!F89/1000000</f>
        <v>26.6136322680704</v>
      </c>
      <c r="H331" s="198">
        <f>Weighted!F98/1000000</f>
        <v>78.346472611843154</v>
      </c>
      <c r="I331" s="198">
        <f>Weighted!F107/1000000</f>
        <v>0.85924749592670402</v>
      </c>
      <c r="J331" s="198">
        <f>Weighted!F116/1000000</f>
        <v>116.31928243246315</v>
      </c>
      <c r="K331" s="198">
        <f>Weighted!F125/1000000</f>
        <v>0</v>
      </c>
      <c r="L331" s="198">
        <f>Weighted!F134/1000000</f>
        <v>0</v>
      </c>
    </row>
    <row r="332" spans="2:14" x14ac:dyDescent="0.2">
      <c r="B332" s="214" t="str">
        <f>'Option inputs'!$C$18</f>
        <v>Option 3</v>
      </c>
      <c r="C332" s="198">
        <f>Weighted!F17/1000000</f>
        <v>-6.6810753329172767</v>
      </c>
      <c r="D332" s="198">
        <f>Weighted!F52/1000000</f>
        <v>-37.359125191602097</v>
      </c>
      <c r="E332" s="198">
        <f>Weighted!F61/1000000</f>
        <v>-5.2265185098549329</v>
      </c>
      <c r="F332" s="198">
        <f>Weighted!F81/1000000</f>
        <v>-3.786736533316255</v>
      </c>
      <c r="G332" s="198">
        <f>Weighted!F90/1000000</f>
        <v>1.395517987145922</v>
      </c>
      <c r="H332" s="198">
        <f>Weighted!F99/1000000</f>
        <v>7.6161472324521302</v>
      </c>
      <c r="I332" s="198">
        <f>Weighted!F108/1000000</f>
        <v>-3.2101375374044408E-2</v>
      </c>
      <c r="J332" s="198">
        <f>Weighted!F117/1000000</f>
        <v>30.711741057631997</v>
      </c>
      <c r="K332" s="198">
        <f>Weighted!F126/1000000</f>
        <v>0</v>
      </c>
      <c r="L332" s="198">
        <f>Weighted!F135/1000000</f>
        <v>0</v>
      </c>
    </row>
    <row r="333" spans="2:14" x14ac:dyDescent="0.2">
      <c r="B333" s="214" t="str">
        <f>'Option inputs'!$C$19</f>
        <v>Option 4</v>
      </c>
      <c r="C333" s="198">
        <f>Weighted!F18/1000000</f>
        <v>-44.008749419036668</v>
      </c>
      <c r="D333" s="266" t="s">
        <v>240</v>
      </c>
      <c r="E333" s="251"/>
      <c r="F333" s="251"/>
      <c r="G333" s="251"/>
      <c r="H333" s="251"/>
      <c r="I333" s="251"/>
      <c r="J333" s="251"/>
      <c r="K333" s="251"/>
      <c r="L333" s="252"/>
    </row>
    <row r="334" spans="2:14" x14ac:dyDescent="0.2">
      <c r="B334" s="214" t="str">
        <f>'Option inputs'!$C$20</f>
        <v>Option 5</v>
      </c>
      <c r="C334" s="198">
        <f>Weighted!F19/1000000</f>
        <v>-28.876330161726578</v>
      </c>
      <c r="D334" s="267" t="s">
        <v>240</v>
      </c>
      <c r="E334" s="253"/>
      <c r="F334" s="253"/>
      <c r="G334" s="253"/>
      <c r="H334" s="253"/>
      <c r="I334" s="253"/>
      <c r="J334" s="253"/>
      <c r="K334" s="253"/>
      <c r="L334" s="254"/>
    </row>
    <row r="351" spans="1:30" x14ac:dyDescent="0.2">
      <c r="A351" s="161"/>
      <c r="B351" s="206" t="str">
        <f>INDEX($B$305:$B$310,MATCH(1,$D$305:$D$310,0))</f>
        <v>Option 1A</v>
      </c>
      <c r="C351" s="121" t="str">
        <f>C5</f>
        <v>2020-21</v>
      </c>
      <c r="D351" s="121" t="str">
        <f t="shared" ref="D351:AB351" si="19">D5</f>
        <v>2021-22</v>
      </c>
      <c r="E351" s="121" t="str">
        <f t="shared" si="19"/>
        <v>2022-23</v>
      </c>
      <c r="F351" s="121" t="str">
        <f t="shared" si="19"/>
        <v>2023-24</v>
      </c>
      <c r="G351" s="121" t="str">
        <f t="shared" si="19"/>
        <v>2024-25</v>
      </c>
      <c r="H351" s="121" t="str">
        <f t="shared" si="19"/>
        <v>2025-26</v>
      </c>
      <c r="I351" s="121" t="str">
        <f t="shared" si="19"/>
        <v>2026-27</v>
      </c>
      <c r="J351" s="121" t="str">
        <f t="shared" si="19"/>
        <v>2027-28</v>
      </c>
      <c r="K351" s="121" t="str">
        <f t="shared" si="19"/>
        <v>2028-29</v>
      </c>
      <c r="L351" s="121" t="str">
        <f t="shared" si="19"/>
        <v>2029-30</v>
      </c>
      <c r="M351" s="121" t="str">
        <f t="shared" si="19"/>
        <v>2030-31</v>
      </c>
      <c r="N351" s="121" t="str">
        <f t="shared" si="19"/>
        <v>2031-32</v>
      </c>
      <c r="O351" s="121" t="str">
        <f t="shared" si="19"/>
        <v>2032-33</v>
      </c>
      <c r="P351" s="121" t="str">
        <f t="shared" si="19"/>
        <v>2033-34</v>
      </c>
      <c r="Q351" s="121" t="str">
        <f t="shared" si="19"/>
        <v>2034-35</v>
      </c>
      <c r="R351" s="121" t="str">
        <f t="shared" si="19"/>
        <v>2035-36</v>
      </c>
      <c r="S351" s="121" t="str">
        <f t="shared" si="19"/>
        <v>2036-37</v>
      </c>
      <c r="T351" s="121" t="str">
        <f t="shared" si="19"/>
        <v>2037-38</v>
      </c>
      <c r="U351" s="121" t="str">
        <f t="shared" si="19"/>
        <v>2038-39</v>
      </c>
      <c r="V351" s="121" t="str">
        <f t="shared" si="19"/>
        <v>2039-40</v>
      </c>
      <c r="W351" s="121" t="str">
        <f t="shared" si="19"/>
        <v>2040-41</v>
      </c>
      <c r="X351" s="121" t="str">
        <f t="shared" si="19"/>
        <v>2041-42</v>
      </c>
      <c r="Y351" s="121" t="str">
        <f t="shared" si="19"/>
        <v>2042-43</v>
      </c>
      <c r="Z351" s="121" t="str">
        <f t="shared" si="19"/>
        <v>2043-44</v>
      </c>
      <c r="AA351" s="121" t="str">
        <f t="shared" si="19"/>
        <v>2044-45</v>
      </c>
      <c r="AB351" s="121" t="str">
        <f t="shared" si="19"/>
        <v>2045-46</v>
      </c>
    </row>
    <row r="352" spans="1:30" x14ac:dyDescent="0.2">
      <c r="A352" s="161"/>
      <c r="B352" s="214" t="s">
        <v>181</v>
      </c>
      <c r="C352" s="215">
        <f>C61*Weighted!$F$8+C134*Weighted!$G$8+'Chart tables'!C207*Weighted!$H$8</f>
        <v>0</v>
      </c>
      <c r="D352" s="125">
        <f>D61*Weighted!$F$8+D134*Weighted!$G$8+'Chart tables'!D207*Weighted!$H$8</f>
        <v>-52117.015976987546</v>
      </c>
      <c r="E352" s="125">
        <f>E61*Weighted!$F$8+E134*Weighted!$G$8+'Chart tables'!E207*Weighted!$H$8</f>
        <v>-479614.7524982433</v>
      </c>
      <c r="F352" s="125">
        <f>F61*Weighted!$F$8+F134*Weighted!$G$8+'Chart tables'!F207*Weighted!$H$8</f>
        <v>-3174939.318904127</v>
      </c>
      <c r="G352" s="125">
        <f>G61*Weighted!$F$8+G134*Weighted!$G$8+'Chart tables'!G207*Weighted!$H$8</f>
        <v>-11629947.903041393</v>
      </c>
      <c r="H352" s="125">
        <f>H61*Weighted!$F$8+H134*Weighted!$G$8+'Chart tables'!H207*Weighted!$H$8</f>
        <v>-11630034.312255295</v>
      </c>
      <c r="I352" s="125">
        <f>I61*Weighted!$F$8+I134*Weighted!$G$8+'Chart tables'!I207*Weighted!$H$8</f>
        <v>-11993146.610548962</v>
      </c>
      <c r="J352" s="125">
        <f>J61*Weighted!$F$8+J134*Weighted!$G$8+'Chart tables'!J207*Weighted!$H$8</f>
        <v>-11993243.71706612</v>
      </c>
      <c r="K352" s="125">
        <f>K61*Weighted!$F$8+K134*Weighted!$G$8+'Chart tables'!K207*Weighted!$H$8</f>
        <v>-11993346.213487407</v>
      </c>
      <c r="L352" s="125">
        <f>L61*Weighted!$F$8+L134*Weighted!$G$8+'Chart tables'!L207*Weighted!$H$8</f>
        <v>-11993454.724051012</v>
      </c>
      <c r="M352" s="125">
        <f>M61*Weighted!$F$8+M134*Weighted!$G$8+'Chart tables'!M207*Weighted!$H$8</f>
        <v>-11654989.63870912</v>
      </c>
      <c r="N352" s="125">
        <f>N61*Weighted!$F$8+N134*Weighted!$G$8+'Chart tables'!N207*Weighted!$H$8</f>
        <v>-11655111.620058794</v>
      </c>
      <c r="O352" s="125">
        <f>O61*Weighted!$F$8+O134*Weighted!$G$8+'Chart tables'!O207*Weighted!$H$8</f>
        <v>-11655240.433540933</v>
      </c>
      <c r="P352" s="125">
        <f>P61*Weighted!$F$8+P134*Weighted!$G$8+'Chart tables'!P207*Weighted!$H$8</f>
        <v>-11655376.871123839</v>
      </c>
      <c r="Q352" s="125">
        <f>Q61*Weighted!$F$8+Q134*Weighted!$G$8+'Chart tables'!Q207*Weighted!$H$8</f>
        <v>-11655521.293197051</v>
      </c>
      <c r="R352" s="125">
        <f>R61*Weighted!$F$8+R134*Weighted!$G$8+'Chart tables'!R207*Weighted!$H$8</f>
        <v>-10940021.059100155</v>
      </c>
      <c r="S352" s="125">
        <f>S61*Weighted!$F$8+S134*Weighted!$G$8+'Chart tables'!S207*Weighted!$H$8</f>
        <v>-10935175.721517939</v>
      </c>
      <c r="T352" s="125">
        <f>T61*Weighted!$F$8+T134*Weighted!$G$8+'Chart tables'!T207*Weighted!$H$8</f>
        <v>-10834583.464393346</v>
      </c>
      <c r="U352" s="125">
        <f>U61*Weighted!$F$8+U134*Weighted!$G$8+'Chart tables'!U207*Weighted!$H$8</f>
        <v>-10834764.115005495</v>
      </c>
      <c r="V352" s="125">
        <f>V61*Weighted!$F$8+V134*Weighted!$G$8+'Chart tables'!V207*Weighted!$H$8</f>
        <v>-10366929.915161658</v>
      </c>
      <c r="W352" s="125">
        <f>W61*Weighted!$F$8+W134*Weighted!$G$8+'Chart tables'!W207*Weighted!$H$8</f>
        <v>-9860367.3515411764</v>
      </c>
      <c r="X352" s="125">
        <f>X61*Weighted!$F$8+X134*Weighted!$G$8+'Chart tables'!X207*Weighted!$H$8</f>
        <v>-10564112.673614187</v>
      </c>
      <c r="Y352" s="125">
        <f>Y61*Weighted!$F$8+Y134*Weighted!$G$8+'Chart tables'!Y207*Weighted!$H$8</f>
        <v>-10197596.453874243</v>
      </c>
      <c r="Z352" s="125">
        <f>Z61*Weighted!$F$8+Z134*Weighted!$G$8+'Chart tables'!Z207*Weighted!$H$8</f>
        <v>-9980798.4824228343</v>
      </c>
      <c r="AA352" s="125">
        <f>AA61*Weighted!$F$8+AA134*Weighted!$G$8+'Chart tables'!AA207*Weighted!$H$8</f>
        <v>-8682947.4788531102</v>
      </c>
      <c r="AB352" s="125">
        <f>AB61*Weighted!$F$8+AB134*Weighted!$G$8+'Chart tables'!AB207*Weighted!$H$8</f>
        <v>-8723246.9695424717</v>
      </c>
      <c r="AD352" s="126"/>
    </row>
    <row r="353" spans="1:30" x14ac:dyDescent="0.2">
      <c r="A353" s="161"/>
      <c r="B353" s="214" t="s">
        <v>185</v>
      </c>
      <c r="C353" s="215">
        <f>C62*Weighted!$F$8+C135*Weighted!$G$8+'Chart tables'!C208*Weighted!$H$8</f>
        <v>0</v>
      </c>
      <c r="D353" s="125">
        <f>D62*Weighted!$F$8+D135*Weighted!$G$8+'Chart tables'!D208*Weighted!$H$8</f>
        <v>-161.96488759952416</v>
      </c>
      <c r="E353" s="125">
        <f>E62*Weighted!$F$8+E135*Weighted!$G$8+'Chart tables'!E208*Weighted!$H$8</f>
        <v>10658024.363763854</v>
      </c>
      <c r="F353" s="125">
        <f>F62*Weighted!$F$8+F135*Weighted!$G$8+'Chart tables'!F208*Weighted!$H$8</f>
        <v>10104967.305440387</v>
      </c>
      <c r="G353" s="125">
        <f>G62*Weighted!$F$8+G135*Weighted!$G$8+'Chart tables'!G208*Weighted!$H$8</f>
        <v>10698119.852195697</v>
      </c>
      <c r="H353" s="125">
        <f>H62*Weighted!$F$8+H135*Weighted!$G$8+'Chart tables'!H208*Weighted!$H$8</f>
        <v>22930989.341102637</v>
      </c>
      <c r="I353" s="125">
        <f>I62*Weighted!$F$8+I135*Weighted!$G$8+'Chart tables'!I208*Weighted!$H$8</f>
        <v>17387786.985624731</v>
      </c>
      <c r="J353" s="125">
        <f>J62*Weighted!$F$8+J135*Weighted!$G$8+'Chart tables'!J208*Weighted!$H$8</f>
        <v>17726012.086173914</v>
      </c>
      <c r="K353" s="125">
        <f>K62*Weighted!$F$8+K135*Weighted!$G$8+'Chart tables'!K208*Weighted!$H$8</f>
        <v>35695328.347826377</v>
      </c>
      <c r="L353" s="125">
        <f>L62*Weighted!$F$8+L135*Weighted!$G$8+'Chart tables'!L208*Weighted!$H$8</f>
        <v>53035783.854001373</v>
      </c>
      <c r="M353" s="125">
        <f>M62*Weighted!$F$8+M135*Weighted!$G$8+'Chart tables'!M208*Weighted!$H$8</f>
        <v>27106479.701668493</v>
      </c>
      <c r="N353" s="125">
        <f>N62*Weighted!$F$8+N135*Weighted!$G$8+'Chart tables'!N208*Weighted!$H$8</f>
        <v>26809360.626851361</v>
      </c>
      <c r="O353" s="125">
        <f>O62*Weighted!$F$8+O135*Weighted!$G$8+'Chart tables'!O208*Weighted!$H$8</f>
        <v>24863560.981564928</v>
      </c>
      <c r="P353" s="125">
        <f>P62*Weighted!$F$8+P135*Weighted!$G$8+'Chart tables'!P208*Weighted!$H$8</f>
        <v>19553112.340864856</v>
      </c>
      <c r="Q353" s="125">
        <f>Q62*Weighted!$F$8+Q135*Weighted!$G$8+'Chart tables'!Q208*Weighted!$H$8</f>
        <v>20607857.711535741</v>
      </c>
      <c r="R353" s="125">
        <f>R62*Weighted!$F$8+R135*Weighted!$G$8+'Chart tables'!R208*Weighted!$H$8</f>
        <v>14099426.521019945</v>
      </c>
      <c r="S353" s="125">
        <f>S62*Weighted!$F$8+S135*Weighted!$G$8+'Chart tables'!S208*Weighted!$H$8</f>
        <v>31526787.194574717</v>
      </c>
      <c r="T353" s="125">
        <f>T62*Weighted!$F$8+T135*Weighted!$G$8+'Chart tables'!T208*Weighted!$H$8</f>
        <v>32159706.84875622</v>
      </c>
      <c r="U353" s="125">
        <f>U62*Weighted!$F$8+U135*Weighted!$G$8+'Chart tables'!U208*Weighted!$H$8</f>
        <v>33653794.288112439</v>
      </c>
      <c r="V353" s="125">
        <f>V62*Weighted!$F$8+V135*Weighted!$G$8+'Chart tables'!V208*Weighted!$H$8</f>
        <v>33708978.421572313</v>
      </c>
      <c r="W353" s="125">
        <f>W62*Weighted!$F$8+W135*Weighted!$G$8+'Chart tables'!W208*Weighted!$H$8</f>
        <v>37423886.983323917</v>
      </c>
      <c r="X353" s="125">
        <f>X62*Weighted!$F$8+X135*Weighted!$G$8+'Chart tables'!X208*Weighted!$H$8</f>
        <v>38269419.775468975</v>
      </c>
      <c r="Y353" s="125">
        <f>Y62*Weighted!$F$8+Y135*Weighted!$G$8+'Chart tables'!Y208*Weighted!$H$8</f>
        <v>35412206.764639877</v>
      </c>
      <c r="Z353" s="125">
        <f>Z62*Weighted!$F$8+Z135*Weighted!$G$8+'Chart tables'!Z208*Weighted!$H$8</f>
        <v>32234658.423959196</v>
      </c>
      <c r="AA353" s="125">
        <f>AA62*Weighted!$F$8+AA135*Weighted!$G$8+'Chart tables'!AA208*Weighted!$H$8</f>
        <v>31126446.577594072</v>
      </c>
      <c r="AB353" s="125">
        <f>AB62*Weighted!$F$8+AB135*Weighted!$G$8+'Chart tables'!AB208*Weighted!$H$8</f>
        <v>30264436.874049686</v>
      </c>
      <c r="AD353" s="126"/>
    </row>
    <row r="354" spans="1:30" x14ac:dyDescent="0.2">
      <c r="A354" s="161"/>
      <c r="B354" s="214" t="s">
        <v>182</v>
      </c>
      <c r="C354" s="215">
        <f>C63*Weighted!$F$8+C136*Weighted!$G$8+'Chart tables'!C209*Weighted!$H$8</f>
        <v>0</v>
      </c>
      <c r="D354" s="125">
        <f>D63*Weighted!$F$8+D136*Weighted!$G$8+'Chart tables'!D209*Weighted!$H$8</f>
        <v>877107.39644551277</v>
      </c>
      <c r="E354" s="125">
        <f>E63*Weighted!$F$8+E136*Weighted!$G$8+'Chart tables'!E209*Weighted!$H$8</f>
        <v>1772550.6482183933</v>
      </c>
      <c r="F354" s="125">
        <f>F63*Weighted!$F$8+F136*Weighted!$G$8+'Chart tables'!F209*Weighted!$H$8</f>
        <v>1222793.5112142563</v>
      </c>
      <c r="G354" s="125">
        <f>G63*Weighted!$F$8+G136*Weighted!$G$8+'Chart tables'!G209*Weighted!$H$8</f>
        <v>5574122.6124082804</v>
      </c>
      <c r="H354" s="125">
        <f>H63*Weighted!$F$8+H136*Weighted!$G$8+'Chart tables'!H209*Weighted!$H$8</f>
        <v>16580048.425915718</v>
      </c>
      <c r="I354" s="125">
        <f>I63*Weighted!$F$8+I136*Weighted!$G$8+'Chart tables'!I209*Weighted!$H$8</f>
        <v>25982062.657397687</v>
      </c>
      <c r="J354" s="125">
        <f>J63*Weighted!$F$8+J136*Weighted!$G$8+'Chart tables'!J209*Weighted!$H$8</f>
        <v>36528729.649075747</v>
      </c>
      <c r="K354" s="125">
        <f>K63*Weighted!$F$8+K136*Weighted!$G$8+'Chart tables'!K209*Weighted!$H$8</f>
        <v>44242731.8384009</v>
      </c>
      <c r="L354" s="125">
        <f>L63*Weighted!$F$8+L136*Weighted!$G$8+'Chart tables'!L209*Weighted!$H$8</f>
        <v>52802071.613992035</v>
      </c>
      <c r="M354" s="125">
        <f>M63*Weighted!$F$8+M136*Weighted!$G$8+'Chart tables'!M209*Weighted!$H$8</f>
        <v>65075140.847391844</v>
      </c>
      <c r="N354" s="125">
        <f>N63*Weighted!$F$8+N136*Weighted!$G$8+'Chart tables'!N209*Weighted!$H$8</f>
        <v>78347805.86389336</v>
      </c>
      <c r="O354" s="125">
        <f>O63*Weighted!$F$8+O136*Weighted!$G$8+'Chart tables'!O209*Weighted!$H$8</f>
        <v>91199426.76295346</v>
      </c>
      <c r="P354" s="125">
        <f>P63*Weighted!$F$8+P136*Weighted!$G$8+'Chart tables'!P209*Weighted!$H$8</f>
        <v>105008542.53019112</v>
      </c>
      <c r="Q354" s="125">
        <f>Q63*Weighted!$F$8+Q136*Weighted!$G$8+'Chart tables'!Q209*Weighted!$H$8</f>
        <v>117220669.33038408</v>
      </c>
      <c r="R354" s="125">
        <f>R63*Weighted!$F$8+R136*Weighted!$G$8+'Chart tables'!R209*Weighted!$H$8</f>
        <v>119905607.32189405</v>
      </c>
      <c r="S354" s="125">
        <f>S63*Weighted!$F$8+S136*Weighted!$G$8+'Chart tables'!S209*Weighted!$H$8</f>
        <v>122824290.02160323</v>
      </c>
      <c r="T354" s="125">
        <f>T63*Weighted!$F$8+T136*Weighted!$G$8+'Chart tables'!T209*Weighted!$H$8</f>
        <v>123685685.14609796</v>
      </c>
      <c r="U354" s="125">
        <f>U63*Weighted!$F$8+U136*Weighted!$G$8+'Chart tables'!U209*Weighted!$H$8</f>
        <v>124225155.30350098</v>
      </c>
      <c r="V354" s="125">
        <f>V63*Weighted!$F$8+V136*Weighted!$G$8+'Chart tables'!V209*Weighted!$H$8</f>
        <v>120560770.07983872</v>
      </c>
      <c r="W354" s="125">
        <f>W63*Weighted!$F$8+W136*Weighted!$G$8+'Chart tables'!W209*Weighted!$H$8</f>
        <v>118218056.49417129</v>
      </c>
      <c r="X354" s="125">
        <f>X63*Weighted!$F$8+X136*Weighted!$G$8+'Chart tables'!X209*Weighted!$H$8</f>
        <v>118411918.80960464</v>
      </c>
      <c r="Y354" s="125">
        <f>Y63*Weighted!$F$8+Y136*Weighted!$G$8+'Chart tables'!Y209*Weighted!$H$8</f>
        <v>118971308.23697114</v>
      </c>
      <c r="Z354" s="125">
        <f>Z63*Weighted!$F$8+Z136*Weighted!$G$8+'Chart tables'!Z209*Weighted!$H$8</f>
        <v>119450303.89260063</v>
      </c>
      <c r="AA354" s="125">
        <f>AA63*Weighted!$F$8+AA136*Weighted!$G$8+'Chart tables'!AA209*Weighted!$H$8</f>
        <v>121284059.56308739</v>
      </c>
      <c r="AB354" s="125">
        <f>AB63*Weighted!$F$8+AB136*Weighted!$G$8+'Chart tables'!AB209*Weighted!$H$8</f>
        <v>125502363.04462305</v>
      </c>
      <c r="AD354" s="126"/>
    </row>
    <row r="355" spans="1:30" x14ac:dyDescent="0.2">
      <c r="A355" s="161"/>
      <c r="B355" s="214" t="s">
        <v>184</v>
      </c>
      <c r="C355" s="215">
        <f>C64*Weighted!$F$8+C137*Weighted!$G$8+'Chart tables'!C210*Weighted!$H$8</f>
        <v>0</v>
      </c>
      <c r="D355" s="125">
        <f>D64*Weighted!$F$8+D137*Weighted!$G$8+'Chart tables'!D210*Weighted!$H$8</f>
        <v>-1912.5568316154531</v>
      </c>
      <c r="E355" s="198">
        <f>E64*Weighted!$F$8+E137*Weighted!$G$8+'Chart tables'!E210*Weighted!$H$8</f>
        <v>-25484.324772362495</v>
      </c>
      <c r="F355" s="198">
        <f>F64*Weighted!$F$8+F137*Weighted!$G$8+'Chart tables'!F210*Weighted!$H$8</f>
        <v>-35103.43883378584</v>
      </c>
      <c r="G355" s="198">
        <f>G64*Weighted!$F$8+G137*Weighted!$G$8+'Chart tables'!G210*Weighted!$H$8</f>
        <v>-197905.23596087255</v>
      </c>
      <c r="H355" s="198">
        <f>H64*Weighted!$F$8+H137*Weighted!$G$8+'Chart tables'!H210*Weighted!$H$8</f>
        <v>-198245.61994466488</v>
      </c>
      <c r="I355" s="198">
        <f>I64*Weighted!$F$8+I137*Weighted!$G$8+'Chart tables'!I210*Weighted!$H$8</f>
        <v>-221549.84870834847</v>
      </c>
      <c r="J355" s="198">
        <f>J64*Weighted!$F$8+J137*Weighted!$G$8+'Chart tables'!J210*Weighted!$H$8</f>
        <v>-221930.66589355314</v>
      </c>
      <c r="K355" s="198">
        <f>K64*Weighted!$F$8+K137*Weighted!$G$8+'Chart tables'!K210*Weighted!$H$8</f>
        <v>-222333.8467223614</v>
      </c>
      <c r="L355" s="198">
        <f>L64*Weighted!$F$8+L137*Weighted!$G$8+'Chart tables'!L210*Weighted!$H$8</f>
        <v>-222761.86910523893</v>
      </c>
      <c r="M355" s="198">
        <f>M64*Weighted!$F$8+M137*Weighted!$G$8+'Chart tables'!M210*Weighted!$H$8</f>
        <v>-223221.09609703955</v>
      </c>
      <c r="N355" s="198">
        <f>N64*Weighted!$F$8+N137*Weighted!$G$8+'Chart tables'!N210*Weighted!$H$8</f>
        <v>-217383.70461167884</v>
      </c>
      <c r="O355" s="198">
        <f>O64*Weighted!$F$8+O137*Weighted!$G$8+'Chart tables'!O210*Weighted!$H$8</f>
        <v>-215880.27431946911</v>
      </c>
      <c r="P355" s="198">
        <f>P64*Weighted!$F$8+P137*Weighted!$G$8+'Chart tables'!P210*Weighted!$H$8</f>
        <v>-182726.97137025913</v>
      </c>
      <c r="Q355" s="198">
        <f>Q64*Weighted!$F$8+Q137*Weighted!$G$8+'Chart tables'!Q210*Weighted!$H$8</f>
        <v>-202767.82112635669</v>
      </c>
      <c r="R355" s="198">
        <f>R64*Weighted!$F$8+R137*Weighted!$G$8+'Chart tables'!R210*Weighted!$H$8</f>
        <v>-36476.919705999862</v>
      </c>
      <c r="S355" s="198">
        <f>S64*Weighted!$F$8+S137*Weighted!$G$8+'Chart tables'!S210*Weighted!$H$8</f>
        <v>3905.5226698699771</v>
      </c>
      <c r="T355" s="198">
        <f>T64*Weighted!$F$8+T137*Weighted!$G$8+'Chart tables'!T210*Weighted!$H$8</f>
        <v>-2860216.5434060125</v>
      </c>
      <c r="U355" s="198">
        <f>U64*Weighted!$F$8+U137*Weighted!$G$8+'Chart tables'!U210*Weighted!$H$8</f>
        <v>-2525220.6352478154</v>
      </c>
      <c r="V355" s="198">
        <f>V64*Weighted!$F$8+V137*Weighted!$G$8+'Chart tables'!V210*Weighted!$H$8</f>
        <v>-2142331.5526459347</v>
      </c>
      <c r="W355" s="198">
        <f>W64*Weighted!$F$8+W137*Weighted!$G$8+'Chart tables'!W210*Weighted!$H$8</f>
        <v>-833265.08866437548</v>
      </c>
      <c r="X355" s="198">
        <f>X64*Weighted!$F$8+X137*Weighted!$G$8+'Chart tables'!X210*Weighted!$H$8</f>
        <v>-495679.17543357273</v>
      </c>
      <c r="Y355" s="198">
        <f>Y64*Weighted!$F$8+Y137*Weighted!$G$8+'Chart tables'!Y210*Weighted!$H$8</f>
        <v>1297069.4998466996</v>
      </c>
      <c r="Z355" s="198">
        <f>Z64*Weighted!$F$8+Z137*Weighted!$G$8+'Chart tables'!Z210*Weighted!$H$8</f>
        <v>3245987.8545540427</v>
      </c>
      <c r="AA355" s="198">
        <f>AA64*Weighted!$F$8+AA137*Weighted!$G$8+'Chart tables'!AA210*Weighted!$H$8</f>
        <v>3387554.2784727006</v>
      </c>
      <c r="AB355" s="198">
        <f>AB64*Weighted!$F$8+AB137*Weighted!$G$8+'Chart tables'!AB210*Weighted!$H$8</f>
        <v>4587116.0780984657</v>
      </c>
      <c r="AD355" s="149"/>
    </row>
    <row r="356" spans="1:30" x14ac:dyDescent="0.2">
      <c r="A356" s="161"/>
      <c r="B356" s="214" t="s">
        <v>183</v>
      </c>
      <c r="C356" s="215">
        <f>C65*Weighted!$F$8+C138*Weighted!$G$8+'Chart tables'!C211*Weighted!$H$8</f>
        <v>0</v>
      </c>
      <c r="D356" s="125">
        <f>D65*Weighted!$F$8+D138*Weighted!$G$8+'Chart tables'!D211*Weighted!$H$8</f>
        <v>14412401.001158655</v>
      </c>
      <c r="E356" s="125">
        <f>E65*Weighted!$F$8+E138*Weighted!$G$8+'Chart tables'!E211*Weighted!$H$8</f>
        <v>52115403.146844655</v>
      </c>
      <c r="F356" s="125">
        <f>F65*Weighted!$F$8+F138*Weighted!$G$8+'Chart tables'!F211*Weighted!$H$8</f>
        <v>77885709.689422548</v>
      </c>
      <c r="G356" s="125">
        <f>G65*Weighted!$F$8+G138*Weighted!$G$8+'Chart tables'!G211*Weighted!$H$8</f>
        <v>70304383.549004763</v>
      </c>
      <c r="H356" s="125">
        <f>H65*Weighted!$F$8+H138*Weighted!$G$8+'Chart tables'!H211*Weighted!$H$8</f>
        <v>73732941.369120568</v>
      </c>
      <c r="I356" s="125">
        <f>I65*Weighted!$F$8+I138*Weighted!$G$8+'Chart tables'!I211*Weighted!$H$8</f>
        <v>215427565.75142074</v>
      </c>
      <c r="J356" s="125">
        <f>J65*Weighted!$F$8+J138*Weighted!$G$8+'Chart tables'!J211*Weighted!$H$8</f>
        <v>171311894.0491775</v>
      </c>
      <c r="K356" s="125">
        <f>K65*Weighted!$F$8+K138*Weighted!$G$8+'Chart tables'!K211*Weighted!$H$8</f>
        <v>156087625.03456697</v>
      </c>
      <c r="L356" s="125">
        <f>L65*Weighted!$F$8+L138*Weighted!$G$8+'Chart tables'!L211*Weighted!$H$8</f>
        <v>80337678.380178005</v>
      </c>
      <c r="M356" s="125">
        <f>M65*Weighted!$F$8+M138*Weighted!$G$8+'Chart tables'!M211*Weighted!$H$8</f>
        <v>-47988308.810607165</v>
      </c>
      <c r="N356" s="125">
        <f>N65*Weighted!$F$8+N138*Weighted!$G$8+'Chart tables'!N211*Weighted!$H$8</f>
        <v>-50688121.892134637</v>
      </c>
      <c r="O356" s="125">
        <f>O65*Weighted!$F$8+O138*Weighted!$G$8+'Chart tables'!O211*Weighted!$H$8</f>
        <v>96729148.465248346</v>
      </c>
      <c r="P356" s="125">
        <f>P65*Weighted!$F$8+P138*Weighted!$G$8+'Chart tables'!P211*Weighted!$H$8</f>
        <v>59347802.809335113</v>
      </c>
      <c r="Q356" s="125">
        <f>Q65*Weighted!$F$8+Q138*Weighted!$G$8+'Chart tables'!Q211*Weighted!$H$8</f>
        <v>69638909.993555307</v>
      </c>
      <c r="R356" s="125">
        <f>R65*Weighted!$F$8+R138*Weighted!$G$8+'Chart tables'!R211*Weighted!$H$8</f>
        <v>85385847.636154234</v>
      </c>
      <c r="S356" s="125">
        <f>S65*Weighted!$F$8+S138*Weighted!$G$8+'Chart tables'!S211*Weighted!$H$8</f>
        <v>95024373.072525203</v>
      </c>
      <c r="T356" s="125">
        <f>T65*Weighted!$F$8+T138*Weighted!$G$8+'Chart tables'!T211*Weighted!$H$8</f>
        <v>122531498.63258666</v>
      </c>
      <c r="U356" s="125">
        <f>U65*Weighted!$F$8+U138*Weighted!$G$8+'Chart tables'!U211*Weighted!$H$8</f>
        <v>100431162.31701022</v>
      </c>
      <c r="V356" s="125">
        <f>V65*Weighted!$F$8+V138*Weighted!$G$8+'Chart tables'!V211*Weighted!$H$8</f>
        <v>118074982.01858401</v>
      </c>
      <c r="W356" s="125">
        <f>W65*Weighted!$F$8+W138*Weighted!$G$8+'Chart tables'!W211*Weighted!$H$8</f>
        <v>96241313.039087594</v>
      </c>
      <c r="X356" s="125">
        <f>X65*Weighted!$F$8+X138*Weighted!$G$8+'Chart tables'!X211*Weighted!$H$8</f>
        <v>87251043.678138077</v>
      </c>
      <c r="Y356" s="125">
        <f>Y65*Weighted!$F$8+Y138*Weighted!$G$8+'Chart tables'!Y211*Weighted!$H$8</f>
        <v>93419939.139108717</v>
      </c>
      <c r="Z356" s="125">
        <f>Z65*Weighted!$F$8+Z138*Weighted!$G$8+'Chart tables'!Z211*Weighted!$H$8</f>
        <v>84754137.633737117</v>
      </c>
      <c r="AA356" s="125">
        <f>AA65*Weighted!$F$8+AA138*Weighted!$G$8+'Chart tables'!AA211*Weighted!$H$8</f>
        <v>81624476.941128999</v>
      </c>
      <c r="AB356" s="125">
        <f>AB65*Weighted!$F$8+AB138*Weighted!$G$8+'Chart tables'!AB211*Weighted!$H$8</f>
        <v>80093819.907199711</v>
      </c>
      <c r="AD356" s="126"/>
    </row>
    <row r="357" spans="1:30" x14ac:dyDescent="0.2">
      <c r="A357" s="161"/>
    </row>
    <row r="358" spans="1:30" x14ac:dyDescent="0.2">
      <c r="A358" s="161"/>
    </row>
    <row r="376" spans="1:17" ht="15.75" x14ac:dyDescent="0.25">
      <c r="B376" s="209" t="s">
        <v>200</v>
      </c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195"/>
      <c r="Q376" s="195"/>
    </row>
    <row r="378" spans="1:17" x14ac:dyDescent="0.2">
      <c r="B378" s="206" t="s">
        <v>84</v>
      </c>
      <c r="C378" s="206" t="s">
        <v>53</v>
      </c>
      <c r="D378" s="206" t="s">
        <v>37</v>
      </c>
      <c r="G378" s="206" t="s">
        <v>54</v>
      </c>
      <c r="H378" s="206" t="s">
        <v>53</v>
      </c>
      <c r="I378" s="206" t="s">
        <v>37</v>
      </c>
      <c r="K378" s="206" t="s">
        <v>53</v>
      </c>
      <c r="L378" s="206" t="s">
        <v>37</v>
      </c>
    </row>
    <row r="379" spans="1:17" x14ac:dyDescent="0.2">
      <c r="A379" s="233">
        <v>1.25</v>
      </c>
      <c r="B379" s="214" t="s">
        <v>196</v>
      </c>
      <c r="C379" s="214" t="str">
        <f>'Option inputs'!$C$15</f>
        <v>Option 1A</v>
      </c>
      <c r="D379" s="241">
        <v>-4.1377898663460613</v>
      </c>
      <c r="F379" s="240">
        <v>7.9000000000000001E-2</v>
      </c>
      <c r="G379" s="214" t="s">
        <v>198</v>
      </c>
      <c r="H379" s="214" t="str">
        <f>'Option inputs'!$C$15</f>
        <v>Option 1A</v>
      </c>
      <c r="I379" s="241">
        <v>7.0454053200118247</v>
      </c>
      <c r="K379" s="214" t="str">
        <f>H379</f>
        <v>Option 1A</v>
      </c>
      <c r="L379" s="125">
        <f>Weighted!F14/1000000</f>
        <v>32.568426341301262</v>
      </c>
      <c r="N379" s="126"/>
    </row>
    <row r="380" spans="1:17" x14ac:dyDescent="0.2">
      <c r="B380" s="239"/>
      <c r="C380" s="214" t="str">
        <f>'Option inputs'!$C$16</f>
        <v>Option 1B</v>
      </c>
      <c r="D380" s="241">
        <v>-92.89595580936583</v>
      </c>
      <c r="G380" s="214"/>
      <c r="H380" s="214" t="str">
        <f>'Option inputs'!$C$16</f>
        <v>Option 1B</v>
      </c>
      <c r="I380" s="241">
        <v>-61.13891970828962</v>
      </c>
      <c r="K380" s="214" t="str">
        <f t="shared" ref="K380:K384" si="20">H380</f>
        <v>Option 1B</v>
      </c>
      <c r="L380" s="125">
        <f>Weighted!F15/1000000</f>
        <v>-40.215168709111225</v>
      </c>
      <c r="N380" s="126"/>
    </row>
    <row r="381" spans="1:17" x14ac:dyDescent="0.2">
      <c r="B381" s="214"/>
      <c r="C381" s="214" t="str">
        <f>'Option inputs'!$C$17</f>
        <v>Option 2</v>
      </c>
      <c r="D381" s="241">
        <v>-165.53834260118299</v>
      </c>
      <c r="G381" s="214"/>
      <c r="H381" s="214" t="str">
        <f>'Option inputs'!$C$17</f>
        <v>Option 2</v>
      </c>
      <c r="I381" s="241">
        <v>-117.67743523759162</v>
      </c>
      <c r="K381" s="214" t="str">
        <f t="shared" si="20"/>
        <v>Option 2</v>
      </c>
      <c r="L381" s="125">
        <f>Weighted!F16/1000000</f>
        <v>-97.236048819124264</v>
      </c>
    </row>
    <row r="382" spans="1:17" x14ac:dyDescent="0.2">
      <c r="B382" s="214"/>
      <c r="C382" s="214" t="str">
        <f>'Option inputs'!$C$18</f>
        <v>Option 3</v>
      </c>
      <c r="D382" s="241">
        <v>-16.020856630817789</v>
      </c>
      <c r="G382" s="214"/>
      <c r="H382" s="214" t="str">
        <f>'Option inputs'!$C$18</f>
        <v>Option 3</v>
      </c>
      <c r="I382" s="241">
        <v>-10.075461517498292</v>
      </c>
      <c r="K382" s="214" t="str">
        <f t="shared" si="20"/>
        <v>Option 3</v>
      </c>
      <c r="L382" s="125">
        <f>Weighted!F17/1000000</f>
        <v>-6.6810753329172767</v>
      </c>
    </row>
    <row r="383" spans="1:17" x14ac:dyDescent="0.2">
      <c r="B383" s="214"/>
      <c r="C383" s="214" t="str">
        <f>'Option inputs'!$C$19</f>
        <v>Option 4</v>
      </c>
      <c r="D383" s="241">
        <v>-80.714965626683991</v>
      </c>
      <c r="G383" s="214"/>
      <c r="H383" s="214" t="str">
        <f>'Option inputs'!$C$19</f>
        <v>Option 4</v>
      </c>
      <c r="I383" s="241">
        <v>-62.514121443179206</v>
      </c>
      <c r="K383" s="214" t="str">
        <f t="shared" si="20"/>
        <v>Option 4</v>
      </c>
      <c r="L383" s="125">
        <f>Weighted!F18/1000000</f>
        <v>-44.008749419036668</v>
      </c>
    </row>
    <row r="384" spans="1:17" x14ac:dyDescent="0.2">
      <c r="B384" s="232"/>
      <c r="C384" s="232" t="str">
        <f>'Option inputs'!$C$20</f>
        <v>Option 5</v>
      </c>
      <c r="D384" s="242">
        <v>-28.876330161726578</v>
      </c>
      <c r="G384" s="232"/>
      <c r="H384" s="232" t="str">
        <f>'Option inputs'!$C$20</f>
        <v>Option 5</v>
      </c>
      <c r="I384" s="242">
        <v>-27.567949509008816</v>
      </c>
      <c r="K384" s="238" t="str">
        <f t="shared" si="20"/>
        <v>Option 5</v>
      </c>
      <c r="L384" s="125">
        <f>Weighted!F19/1000000</f>
        <v>-28.876330161726578</v>
      </c>
    </row>
    <row r="385" spans="1:9" x14ac:dyDescent="0.2">
      <c r="A385" s="233">
        <v>0.75</v>
      </c>
      <c r="B385" s="214" t="s">
        <v>197</v>
      </c>
      <c r="C385" s="214" t="str">
        <f>'Option inputs'!$C$15</f>
        <v>Option 1A</v>
      </c>
      <c r="D385" s="241">
        <v>69.274642548948592</v>
      </c>
      <c r="F385" s="240">
        <v>2.23E-2</v>
      </c>
      <c r="G385" s="214" t="s">
        <v>199</v>
      </c>
      <c r="H385" s="214" t="str">
        <f>'Option inputs'!$C$15</f>
        <v>Option 1A</v>
      </c>
      <c r="I385" s="241">
        <v>84.429519289801135</v>
      </c>
    </row>
    <row r="386" spans="1:9" x14ac:dyDescent="0.2">
      <c r="B386" s="239"/>
      <c r="C386" s="214" t="str">
        <f>'Option inputs'!$C$16</f>
        <v>Option 1B</v>
      </c>
      <c r="D386" s="241">
        <v>12.465618391143263</v>
      </c>
      <c r="G386" s="214"/>
      <c r="H386" s="214" t="str">
        <f>'Option inputs'!$C$16</f>
        <v>Option 1B</v>
      </c>
      <c r="I386" s="241">
        <v>13.567531921548412</v>
      </c>
    </row>
    <row r="387" spans="1:9" x14ac:dyDescent="0.2">
      <c r="B387" s="214"/>
      <c r="C387" s="214" t="str">
        <f>'Option inputs'!$C$17</f>
        <v>Option 2</v>
      </c>
      <c r="D387" s="241">
        <v>-28.933755037065431</v>
      </c>
      <c r="G387" s="214"/>
      <c r="H387" s="214" t="str">
        <f>'Option inputs'!$C$17</f>
        <v>Option 2</v>
      </c>
      <c r="I387" s="241">
        <v>-34.912386782457084</v>
      </c>
    </row>
    <row r="388" spans="1:9" x14ac:dyDescent="0.2">
      <c r="B388" s="214"/>
      <c r="C388" s="214" t="str">
        <f>'Option inputs'!$C$18</f>
        <v>Option 3</v>
      </c>
      <c r="D388" s="241">
        <v>2.6587059649832474</v>
      </c>
      <c r="G388" s="214"/>
      <c r="H388" s="214" t="str">
        <f>'Option inputs'!$C$18</f>
        <v>Option 3</v>
      </c>
      <c r="I388" s="241">
        <v>0.56513029029221828</v>
      </c>
    </row>
    <row r="389" spans="1:9" x14ac:dyDescent="0.2">
      <c r="B389" s="214"/>
      <c r="C389" s="214" t="str">
        <f>'Option inputs'!$C$19</f>
        <v>Option 4</v>
      </c>
      <c r="D389" s="241">
        <v>-7.3025332113892842</v>
      </c>
      <c r="G389" s="214"/>
      <c r="H389" s="214" t="str">
        <f>'Option inputs'!$C$19</f>
        <v>Option 4</v>
      </c>
      <c r="I389" s="241">
        <v>-4.1815372528996653</v>
      </c>
    </row>
    <row r="390" spans="1:9" x14ac:dyDescent="0.2">
      <c r="B390" s="214"/>
      <c r="C390" s="214" t="str">
        <f>'Option inputs'!$C$20</f>
        <v>Option 5</v>
      </c>
      <c r="D390" s="241">
        <v>-28.876330161726578</v>
      </c>
      <c r="G390" s="214"/>
      <c r="H390" s="214" t="str">
        <f>'Option inputs'!$C$20</f>
        <v>Option 5</v>
      </c>
      <c r="I390" s="241">
        <v>-34.207121231248365</v>
      </c>
    </row>
    <row r="391" spans="1:9" x14ac:dyDescent="0.2">
      <c r="B391" s="161"/>
      <c r="C391" s="161"/>
      <c r="D391" s="231"/>
      <c r="I391" s="231"/>
    </row>
    <row r="392" spans="1:9" s="161" customFormat="1" x14ac:dyDescent="0.2">
      <c r="D392" s="231"/>
      <c r="I392" s="231"/>
    </row>
    <row r="393" spans="1:9" s="161" customFormat="1" x14ac:dyDescent="0.2"/>
    <row r="411" spans="1:17" ht="15.75" x14ac:dyDescent="0.25">
      <c r="B411" s="209" t="s">
        <v>201</v>
      </c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</row>
    <row r="412" spans="1:17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1:17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206" t="s">
        <v>53</v>
      </c>
      <c r="L413" s="121" t="s">
        <v>93</v>
      </c>
      <c r="M413" s="121" t="s">
        <v>151</v>
      </c>
      <c r="N413" s="121" t="s">
        <v>152</v>
      </c>
      <c r="O413" s="121" t="s">
        <v>202</v>
      </c>
      <c r="P413" s="121" t="s">
        <v>83</v>
      </c>
    </row>
    <row r="414" spans="1:17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214" t="str">
        <f>'Option inputs'!C15</f>
        <v>Option 1A</v>
      </c>
      <c r="L414" s="125">
        <f>Central!F8/1000000</f>
        <v>-65.47473730557455</v>
      </c>
      <c r="M414" s="125">
        <f>Step!F8/1000000</f>
        <v>158.52364086615265</v>
      </c>
      <c r="N414" s="125">
        <f>Slow!F8/1000000</f>
        <v>23.488158532742986</v>
      </c>
      <c r="O414" s="125">
        <f>Fast!F8/1000000</f>
        <v>13.736643271883963</v>
      </c>
      <c r="P414" s="125">
        <f>Weighted!F14/1000000</f>
        <v>32.568426341301262</v>
      </c>
    </row>
    <row r="415" spans="1:17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214" t="str">
        <f>'Option inputs'!C16</f>
        <v>Option 1B</v>
      </c>
      <c r="L415" s="125">
        <f>Central!F9/1000000</f>
        <v>-138.25833235598708</v>
      </c>
      <c r="M415" s="125">
        <f>Step!F9/1000000</f>
        <v>85.740045815740103</v>
      </c>
      <c r="N415" s="125">
        <f>Slow!F9/1000000</f>
        <v>-49.295436517669394</v>
      </c>
      <c r="O415" s="125">
        <f>Fast!F9/1000000</f>
        <v>-59.04695177852853</v>
      </c>
      <c r="P415" s="125">
        <f>Weighted!F15/1000000</f>
        <v>-40.215168709111225</v>
      </c>
    </row>
    <row r="416" spans="1:17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214" t="str">
        <f>'Option inputs'!C17</f>
        <v>Option 2</v>
      </c>
      <c r="L416" s="125">
        <f>Central!F10/1000000</f>
        <v>-201.00602518582241</v>
      </c>
      <c r="M416" s="125">
        <f>Step!F10/1000000</f>
        <v>37.554318315618268</v>
      </c>
      <c r="N416" s="125">
        <f>Slow!F10/1000000</f>
        <v>-109.94882795587559</v>
      </c>
      <c r="O416" s="125">
        <f>Fast!F10/1000000</f>
        <v>-115.54366045041711</v>
      </c>
      <c r="P416" s="125">
        <f>Weighted!F16/1000000</f>
        <v>-97.236048819124264</v>
      </c>
    </row>
    <row r="417" spans="1:16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214" t="str">
        <f>'Option inputs'!C18</f>
        <v>Option 3</v>
      </c>
      <c r="L417" s="125">
        <f>Central!F11/1000000</f>
        <v>-16.908021509543975</v>
      </c>
      <c r="M417" s="125">
        <f>Step!F11/1000000</f>
        <v>8.5734748436076593</v>
      </c>
      <c r="N417" s="125">
        <f>Slow!F11/1000000</f>
        <v>-14.440635398150526</v>
      </c>
      <c r="O417" s="125">
        <f>Fast!F11/1000000</f>
        <v>-3.9491192675823092</v>
      </c>
      <c r="P417" s="125">
        <f>Weighted!F17/1000000</f>
        <v>-6.6810753329172767</v>
      </c>
    </row>
    <row r="418" spans="1:16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214" t="str">
        <f>'Option inputs'!C19</f>
        <v>Option 4</v>
      </c>
      <c r="L418" s="125">
        <f>Central!F12/1000000</f>
        <v>-165.26075073194494</v>
      </c>
      <c r="M418" s="125">
        <f>Step!F12/1000000</f>
        <v>135.58379709853281</v>
      </c>
      <c r="N418" s="125">
        <f>Slow!F12/1000000</f>
        <v>-83.726158194014999</v>
      </c>
      <c r="O418" s="125">
        <f>Fast!F12/1000000</f>
        <v>-62.631885848719179</v>
      </c>
      <c r="P418" s="125">
        <f>Weighted!F18/1000000</f>
        <v>-44.008749419036668</v>
      </c>
    </row>
    <row r="419" spans="1:16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214" t="str">
        <f>'Option inputs'!C20</f>
        <v>Option 5</v>
      </c>
      <c r="L419" s="125">
        <f>Central!F13/1000000</f>
        <v>-46.536759460817883</v>
      </c>
      <c r="M419" s="125">
        <f>Step!F13/1000000</f>
        <v>10.26158091753625</v>
      </c>
      <c r="N419" s="125">
        <f>Slow!F13/1000000</f>
        <v>-51.362840593969906</v>
      </c>
      <c r="O419" s="125">
        <f>Fast!F13/1000000</f>
        <v>-27.867301509654695</v>
      </c>
      <c r="P419" s="125">
        <f>Weighted!F19/1000000</f>
        <v>-28.876330161726578</v>
      </c>
    </row>
    <row r="420" spans="1:16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</row>
    <row r="421" spans="1:16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214" t="s">
        <v>170</v>
      </c>
      <c r="L421" s="125">
        <f>MAX(L414:O419)</f>
        <v>158.52364086615265</v>
      </c>
      <c r="M421" s="90"/>
      <c r="N421" s="90"/>
      <c r="O421" s="90"/>
    </row>
    <row r="422" spans="1:16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214" t="s">
        <v>171</v>
      </c>
      <c r="L422" s="125">
        <f>MIN(L414:O419)</f>
        <v>-201.00602518582241</v>
      </c>
      <c r="M422" s="90"/>
      <c r="N422" s="90"/>
      <c r="O422" s="90"/>
    </row>
    <row r="423" spans="1:16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1:16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1:16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1:16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1:16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1:16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1:16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1:16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1:16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1:16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1:15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1:15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1:15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1:15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1:15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1:15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1:15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1:15" x14ac:dyDescent="0.2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</row>
    <row r="441" spans="1:15" x14ac:dyDescent="0.2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</row>
    <row r="442" spans="1:15" x14ac:dyDescent="0.2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</row>
    <row r="443" spans="1:15" x14ac:dyDescent="0.2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</row>
    <row r="444" spans="1:15" x14ac:dyDescent="0.2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</row>
    <row r="445" spans="1:15" x14ac:dyDescent="0.2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</row>
    <row r="446" spans="1:15" x14ac:dyDescent="0.2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</row>
    <row r="447" spans="1:15" x14ac:dyDescent="0.2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</row>
    <row r="448" spans="1:15" x14ac:dyDescent="0.2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</row>
    <row r="449" spans="2:14" x14ac:dyDescent="0.2"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</row>
    <row r="450" spans="2:14" x14ac:dyDescent="0.2"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</row>
    <row r="451" spans="2:14" x14ac:dyDescent="0.2"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</row>
    <row r="452" spans="2:14" x14ac:dyDescent="0.2"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</row>
    <row r="453" spans="2:14" x14ac:dyDescent="0.2"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</row>
    <row r="454" spans="2:14" x14ac:dyDescent="0.2"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</row>
    <row r="455" spans="2:14" x14ac:dyDescent="0.2"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</row>
    <row r="456" spans="2:14" x14ac:dyDescent="0.2"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</row>
    <row r="457" spans="2:14" x14ac:dyDescent="0.2"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0D4A4"/>
  </sheetPr>
  <dimension ref="A1:T20"/>
  <sheetViews>
    <sheetView showGridLines="0" zoomScaleNormal="100" workbookViewId="0">
      <selection activeCell="G28" sqref="G28"/>
    </sheetView>
  </sheetViews>
  <sheetFormatPr defaultRowHeight="15" x14ac:dyDescent="0.2"/>
  <cols>
    <col min="1" max="1" width="5.6640625" customWidth="1"/>
    <col min="2" max="2" width="9.5546875" customWidth="1"/>
    <col min="3" max="5" width="14.5546875" customWidth="1"/>
    <col min="6" max="8" width="8.88671875" customWidth="1"/>
    <col min="9" max="10" width="14.5546875" customWidth="1"/>
    <col min="11" max="14" width="8.88671875" customWidth="1"/>
    <col min="18" max="20" width="9.21875" style="161"/>
  </cols>
  <sheetData>
    <row r="1" spans="1:17" ht="18" x14ac:dyDescent="0.25">
      <c r="B1" s="80" t="str">
        <f ca="1">MID(CELL("filename",B2),FIND("]",CELL("filename",B2))+1,256)</f>
        <v>Option inputs</v>
      </c>
    </row>
    <row r="2" spans="1:17" x14ac:dyDescent="0.2">
      <c r="B2" s="81" t="s">
        <v>34</v>
      </c>
    </row>
    <row r="4" spans="1:17" ht="21" x14ac:dyDescent="0.35">
      <c r="A4" s="83"/>
      <c r="B4" s="56" t="s">
        <v>26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</row>
    <row r="5" spans="1:17" x14ac:dyDescent="0.2">
      <c r="A5" s="83"/>
      <c r="B5" s="47"/>
      <c r="C5" s="47"/>
      <c r="D5" s="47"/>
      <c r="E5" s="65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</row>
    <row r="6" spans="1:17" ht="15.75" x14ac:dyDescent="0.25">
      <c r="A6" s="83"/>
      <c r="B6" s="57" t="s">
        <v>5</v>
      </c>
      <c r="C6" s="57"/>
      <c r="D6" s="66"/>
      <c r="E6" s="66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</row>
    <row r="7" spans="1:17" ht="15.75" x14ac:dyDescent="0.25">
      <c r="A7" s="83"/>
      <c r="B7" s="58" t="s">
        <v>6</v>
      </c>
      <c r="C7" s="58"/>
      <c r="D7" s="62" t="s">
        <v>7</v>
      </c>
      <c r="E7" s="62" t="s">
        <v>8</v>
      </c>
      <c r="F7" s="58" t="s">
        <v>33</v>
      </c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1:17" x14ac:dyDescent="0.2">
      <c r="A8" s="83"/>
      <c r="B8" s="59" t="s">
        <v>9</v>
      </c>
      <c r="C8" s="61"/>
      <c r="D8" s="67" t="s">
        <v>10</v>
      </c>
      <c r="E8" s="49">
        <v>2021</v>
      </c>
      <c r="F8" s="55" t="s">
        <v>238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</row>
    <row r="9" spans="1:17" x14ac:dyDescent="0.2">
      <c r="A9" s="83"/>
      <c r="B9" s="59" t="s">
        <v>61</v>
      </c>
      <c r="C9" s="61"/>
      <c r="D9" s="67" t="s">
        <v>10</v>
      </c>
      <c r="E9" s="49">
        <v>2020</v>
      </c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</row>
    <row r="10" spans="1:17" x14ac:dyDescent="0.2">
      <c r="A10" s="83"/>
      <c r="B10" s="59" t="s">
        <v>11</v>
      </c>
      <c r="C10" s="61"/>
      <c r="D10" s="67" t="s">
        <v>12</v>
      </c>
      <c r="E10" s="49">
        <v>26</v>
      </c>
      <c r="F10" s="50" t="s">
        <v>239</v>
      </c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</row>
    <row r="11" spans="1:17" x14ac:dyDescent="0.2">
      <c r="A11" s="83"/>
      <c r="B11" s="47"/>
      <c r="C11" s="47"/>
      <c r="D11" s="47"/>
      <c r="E11" s="47"/>
      <c r="F11" s="47"/>
      <c r="G11" s="47"/>
      <c r="H11" s="47"/>
      <c r="I11" s="47"/>
      <c r="J11" s="47"/>
    </row>
    <row r="12" spans="1:17" ht="15.75" x14ac:dyDescent="0.25">
      <c r="A12" s="135"/>
      <c r="B12" s="4" t="s">
        <v>23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 ht="30" customHeight="1" x14ac:dyDescent="0.25">
      <c r="A13" s="134"/>
      <c r="B13" s="85" t="s">
        <v>14</v>
      </c>
      <c r="C13" s="84" t="s">
        <v>13</v>
      </c>
      <c r="D13" s="85"/>
      <c r="E13" s="86" t="s">
        <v>59</v>
      </c>
      <c r="F13" s="86" t="s">
        <v>41</v>
      </c>
      <c r="G13" s="84" t="s">
        <v>16</v>
      </c>
      <c r="H13" s="85"/>
      <c r="I13" s="85"/>
      <c r="J13" s="85"/>
      <c r="K13" s="85"/>
      <c r="L13" s="85"/>
      <c r="M13" s="85"/>
      <c r="N13" s="85"/>
      <c r="O13" s="85"/>
      <c r="P13" s="85"/>
      <c r="Q13" s="85"/>
    </row>
    <row r="14" spans="1:17" x14ac:dyDescent="0.2">
      <c r="B14" s="60">
        <v>0</v>
      </c>
      <c r="C14" s="51" t="s">
        <v>15</v>
      </c>
      <c r="D14" s="88"/>
      <c r="E14" s="53" t="s">
        <v>58</v>
      </c>
      <c r="F14" s="136">
        <f t="shared" ref="F14:F20" si="0">IF(E14="Yes",1,0)</f>
        <v>1</v>
      </c>
      <c r="G14" s="88" t="s">
        <v>175</v>
      </c>
      <c r="H14" s="88"/>
      <c r="I14" s="88"/>
      <c r="J14" s="88"/>
      <c r="K14" s="52"/>
      <c r="L14" s="52"/>
      <c r="M14" s="52"/>
      <c r="N14" s="52"/>
      <c r="O14" s="52"/>
      <c r="P14" s="52"/>
      <c r="Q14" s="52"/>
    </row>
    <row r="15" spans="1:17" x14ac:dyDescent="0.2">
      <c r="B15" s="60">
        <f>B14+1</f>
        <v>1</v>
      </c>
      <c r="C15" s="51" t="s">
        <v>96</v>
      </c>
      <c r="D15" s="87"/>
      <c r="E15" s="53" t="s">
        <v>58</v>
      </c>
      <c r="F15" s="136">
        <f t="shared" si="0"/>
        <v>1</v>
      </c>
      <c r="G15" s="88" t="s">
        <v>176</v>
      </c>
      <c r="H15" s="87"/>
      <c r="I15" s="87"/>
      <c r="J15" s="87"/>
      <c r="K15" s="52"/>
      <c r="L15" s="52"/>
      <c r="M15" s="52"/>
      <c r="N15" s="52"/>
      <c r="O15" s="52"/>
      <c r="P15" s="52"/>
      <c r="Q15" s="52"/>
    </row>
    <row r="16" spans="1:17" x14ac:dyDescent="0.2">
      <c r="B16" s="60">
        <f t="shared" ref="B16:B20" si="1">B15+1</f>
        <v>2</v>
      </c>
      <c r="C16" s="51" t="s">
        <v>97</v>
      </c>
      <c r="D16" s="87"/>
      <c r="E16" s="53" t="s">
        <v>58</v>
      </c>
      <c r="F16" s="136">
        <f t="shared" si="0"/>
        <v>1</v>
      </c>
      <c r="G16" s="131" t="s">
        <v>179</v>
      </c>
      <c r="H16" s="87"/>
      <c r="I16" s="87"/>
      <c r="J16" s="87"/>
      <c r="K16" s="52"/>
      <c r="L16" s="52"/>
      <c r="M16" s="52"/>
      <c r="N16" s="52"/>
      <c r="O16" s="52"/>
      <c r="P16" s="52"/>
      <c r="Q16" s="52"/>
    </row>
    <row r="17" spans="2:17" ht="15.6" customHeight="1" x14ac:dyDescent="0.2">
      <c r="B17" s="60">
        <f t="shared" si="1"/>
        <v>3</v>
      </c>
      <c r="C17" s="51" t="s">
        <v>98</v>
      </c>
      <c r="D17" s="51"/>
      <c r="E17" s="53" t="s">
        <v>58</v>
      </c>
      <c r="F17" s="136">
        <f t="shared" si="0"/>
        <v>1</v>
      </c>
      <c r="G17" s="131" t="s">
        <v>177</v>
      </c>
      <c r="H17" s="159"/>
      <c r="I17" s="159"/>
      <c r="J17" s="159"/>
      <c r="K17" s="159"/>
      <c r="L17" s="159"/>
      <c r="M17" s="159"/>
      <c r="N17" s="159"/>
      <c r="O17" s="159"/>
      <c r="P17" s="159"/>
      <c r="Q17" s="159"/>
    </row>
    <row r="18" spans="2:17" x14ac:dyDescent="0.2">
      <c r="B18" s="60">
        <f t="shared" si="1"/>
        <v>4</v>
      </c>
      <c r="C18" s="51" t="s">
        <v>99</v>
      </c>
      <c r="D18" s="52"/>
      <c r="E18" s="53" t="s">
        <v>58</v>
      </c>
      <c r="F18" s="136">
        <f t="shared" si="0"/>
        <v>1</v>
      </c>
      <c r="G18" s="131" t="s">
        <v>178</v>
      </c>
      <c r="H18" s="87"/>
      <c r="I18" s="87"/>
      <c r="J18" s="87"/>
      <c r="K18" s="52"/>
      <c r="L18" s="52"/>
      <c r="M18" s="52"/>
      <c r="N18" s="52"/>
      <c r="O18" s="52"/>
      <c r="P18" s="52"/>
      <c r="Q18" s="52"/>
    </row>
    <row r="19" spans="2:17" s="161" customFormat="1" x14ac:dyDescent="0.2">
      <c r="B19" s="60">
        <f t="shared" si="1"/>
        <v>5</v>
      </c>
      <c r="C19" s="51" t="s">
        <v>100</v>
      </c>
      <c r="D19" s="52"/>
      <c r="E19" s="53" t="s">
        <v>58</v>
      </c>
      <c r="F19" s="136">
        <f t="shared" si="0"/>
        <v>1</v>
      </c>
      <c r="G19" s="131" t="s">
        <v>240</v>
      </c>
      <c r="H19" s="87"/>
      <c r="I19" s="87"/>
      <c r="J19" s="87"/>
      <c r="K19" s="52"/>
      <c r="L19" s="52"/>
      <c r="M19" s="52"/>
      <c r="N19" s="52"/>
      <c r="O19" s="52"/>
      <c r="P19" s="52"/>
      <c r="Q19" s="52"/>
    </row>
    <row r="20" spans="2:17" s="161" customFormat="1" x14ac:dyDescent="0.2">
      <c r="B20" s="60">
        <f t="shared" si="1"/>
        <v>6</v>
      </c>
      <c r="C20" s="51" t="s">
        <v>174</v>
      </c>
      <c r="D20" s="52"/>
      <c r="E20" s="53" t="s">
        <v>58</v>
      </c>
      <c r="F20" s="136">
        <f t="shared" si="0"/>
        <v>1</v>
      </c>
      <c r="G20" s="131" t="s">
        <v>240</v>
      </c>
      <c r="H20" s="87"/>
      <c r="I20" s="87"/>
      <c r="J20" s="87"/>
      <c r="K20" s="52"/>
      <c r="L20" s="52"/>
      <c r="M20" s="52"/>
      <c r="N20" s="52"/>
      <c r="O20" s="52"/>
      <c r="P20" s="52"/>
      <c r="Q20" s="52"/>
    </row>
  </sheetData>
  <dataValidations count="1">
    <dataValidation type="list" allowBlank="1" showInputMessage="1" showErrorMessage="1" sqref="E14:E20">
      <formula1>"Yes, No"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0D4A4"/>
  </sheetPr>
  <dimension ref="A1:AE388"/>
  <sheetViews>
    <sheetView showGridLines="0" zoomScale="70" zoomScaleNormal="70" workbookViewId="0">
      <selection activeCell="AC12" sqref="AC12"/>
    </sheetView>
  </sheetViews>
  <sheetFormatPr defaultColWidth="8.88671875" defaultRowHeight="15" x14ac:dyDescent="0.2"/>
  <cols>
    <col min="1" max="1" width="14.6640625" style="83" bestFit="1" customWidth="1"/>
    <col min="2" max="2" width="9.5546875" style="47" customWidth="1"/>
    <col min="3" max="3" width="20.6640625" style="47" customWidth="1"/>
    <col min="4" max="4" width="26.88671875" style="69" customWidth="1"/>
    <col min="5" max="5" width="14.33203125" style="47" customWidth="1"/>
    <col min="6" max="30" width="14.6640625" style="47" customWidth="1"/>
    <col min="31" max="31" width="13.6640625" style="47" bestFit="1" customWidth="1"/>
    <col min="32" max="16384" width="8.88671875" style="47"/>
  </cols>
  <sheetData>
    <row r="1" spans="1:31" ht="18" x14ac:dyDescent="0.25">
      <c r="B1" s="80" t="s">
        <v>237</v>
      </c>
    </row>
    <row r="2" spans="1:31" x14ac:dyDescent="0.2">
      <c r="B2" s="81" t="s">
        <v>34</v>
      </c>
      <c r="F2" s="182"/>
      <c r="O2" s="70"/>
      <c r="P2" s="70"/>
      <c r="Q2" s="70"/>
      <c r="R2" s="70"/>
    </row>
    <row r="3" spans="1:31" x14ac:dyDescent="0.2">
      <c r="A3" s="78"/>
      <c r="F3" s="96"/>
    </row>
    <row r="4" spans="1:31" ht="21" x14ac:dyDescent="0.35">
      <c r="B4" s="56" t="s">
        <v>46</v>
      </c>
      <c r="C4" s="56"/>
      <c r="D4" s="68"/>
      <c r="E4" s="68"/>
      <c r="F4" s="56"/>
      <c r="G4" s="56"/>
      <c r="H4" s="56"/>
      <c r="I4" s="56"/>
      <c r="J4" s="71"/>
      <c r="K4" s="71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</row>
    <row r="5" spans="1:31" x14ac:dyDescent="0.2">
      <c r="A5" s="137"/>
      <c r="E5" s="65"/>
      <c r="F5" s="65"/>
      <c r="G5" s="65"/>
      <c r="H5" s="65"/>
      <c r="I5" s="65"/>
      <c r="J5" s="65"/>
      <c r="K5" s="65"/>
      <c r="O5" s="69"/>
      <c r="U5"/>
      <c r="V5"/>
      <c r="W5"/>
      <c r="X5"/>
      <c r="Y5"/>
      <c r="Z5"/>
      <c r="AA5"/>
      <c r="AB5"/>
      <c r="AC5"/>
      <c r="AD5"/>
    </row>
    <row r="6" spans="1:31" ht="15.75" x14ac:dyDescent="0.25">
      <c r="A6" s="137"/>
      <c r="B6" s="4" t="s">
        <v>44</v>
      </c>
      <c r="C6" s="4"/>
      <c r="D6" s="167"/>
      <c r="E6" s="4"/>
      <c r="F6" s="4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U6"/>
      <c r="V6"/>
      <c r="W6"/>
      <c r="X6"/>
      <c r="Y6"/>
      <c r="Z6"/>
      <c r="AA6"/>
      <c r="AB6"/>
      <c r="AC6"/>
      <c r="AD6"/>
    </row>
    <row r="7" spans="1:31" ht="15.75" x14ac:dyDescent="0.25">
      <c r="A7" s="137"/>
      <c r="B7" s="58" t="s">
        <v>5</v>
      </c>
      <c r="C7" s="58"/>
      <c r="D7" s="76"/>
      <c r="E7" s="62" t="s">
        <v>7</v>
      </c>
      <c r="F7" s="62" t="s">
        <v>93</v>
      </c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U7"/>
      <c r="V7"/>
      <c r="W7"/>
      <c r="X7"/>
      <c r="Y7"/>
      <c r="Z7"/>
      <c r="AA7"/>
      <c r="AB7"/>
      <c r="AC7"/>
      <c r="AD7"/>
    </row>
    <row r="8" spans="1:31" x14ac:dyDescent="0.2">
      <c r="A8" s="137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</row>
    <row r="9" spans="1:31" x14ac:dyDescent="0.2">
      <c r="A9" s="137"/>
      <c r="B9" s="59" t="s">
        <v>67</v>
      </c>
      <c r="C9" s="61"/>
      <c r="D9" s="216"/>
      <c r="E9" s="67" t="s">
        <v>57</v>
      </c>
      <c r="F9" s="54">
        <v>5.8999999999999997E-2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U9"/>
      <c r="V9"/>
      <c r="W9"/>
      <c r="X9"/>
      <c r="Y9"/>
      <c r="Z9"/>
      <c r="AA9"/>
      <c r="AB9"/>
      <c r="AC9"/>
      <c r="AD9"/>
    </row>
    <row r="10" spans="1:31" x14ac:dyDescent="0.2">
      <c r="A10" s="137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U10"/>
      <c r="V10"/>
      <c r="W10"/>
      <c r="X10"/>
      <c r="Y10"/>
      <c r="Z10"/>
      <c r="AA10"/>
      <c r="AB10"/>
      <c r="AC10"/>
      <c r="AD10"/>
    </row>
    <row r="11" spans="1:31" ht="15.75" x14ac:dyDescent="0.25">
      <c r="A11" s="137"/>
      <c r="B11" s="138" t="s">
        <v>43</v>
      </c>
      <c r="C11" s="139"/>
      <c r="D11" s="141"/>
      <c r="E11" s="140"/>
      <c r="F11" s="140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U11"/>
      <c r="V11"/>
      <c r="W11"/>
      <c r="X11"/>
      <c r="Y11"/>
      <c r="Z11"/>
      <c r="AA11"/>
      <c r="AB11"/>
      <c r="AC11"/>
      <c r="AD11"/>
    </row>
    <row r="12" spans="1:31" ht="15.75" x14ac:dyDescent="0.25">
      <c r="A12" s="137"/>
      <c r="B12" s="58" t="s">
        <v>42</v>
      </c>
      <c r="C12" s="58"/>
      <c r="D12" s="76"/>
      <c r="E12" s="62" t="s">
        <v>7</v>
      </c>
      <c r="F12" s="62" t="s">
        <v>93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U12"/>
      <c r="V12"/>
      <c r="W12"/>
      <c r="X12"/>
      <c r="Y12"/>
      <c r="Z12"/>
      <c r="AA12"/>
      <c r="AB12"/>
      <c r="AC12"/>
      <c r="AD12"/>
    </row>
    <row r="13" spans="1:31" x14ac:dyDescent="0.2">
      <c r="A13" s="137"/>
      <c r="B13" s="61" t="s">
        <v>128</v>
      </c>
      <c r="C13" s="61"/>
      <c r="D13" s="216"/>
      <c r="E13" s="67" t="s">
        <v>57</v>
      </c>
      <c r="F13" s="255">
        <v>1</v>
      </c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U13"/>
      <c r="V13"/>
      <c r="W13"/>
      <c r="X13"/>
      <c r="Y13"/>
      <c r="Z13"/>
      <c r="AA13"/>
      <c r="AB13"/>
      <c r="AC13"/>
      <c r="AD13"/>
    </row>
    <row r="14" spans="1:31" x14ac:dyDescent="0.2">
      <c r="A14" s="137"/>
      <c r="B14" s="61" t="s">
        <v>209</v>
      </c>
      <c r="C14" s="61"/>
      <c r="D14" s="216"/>
      <c r="E14" s="67" t="s">
        <v>57</v>
      </c>
      <c r="F14" s="54">
        <v>0.01</v>
      </c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</row>
    <row r="15" spans="1:31" x14ac:dyDescent="0.2">
      <c r="A15" s="137"/>
      <c r="E15" s="65"/>
      <c r="F15" s="65"/>
      <c r="G15" s="65"/>
      <c r="H15" s="65"/>
      <c r="I15" s="65"/>
      <c r="J15" s="137"/>
      <c r="K15" s="69"/>
      <c r="N15" s="69"/>
      <c r="T15"/>
      <c r="U15"/>
      <c r="V15"/>
      <c r="W15"/>
      <c r="X15"/>
      <c r="Y15"/>
      <c r="Z15"/>
      <c r="AA15"/>
      <c r="AB15"/>
      <c r="AC15"/>
    </row>
    <row r="16" spans="1:31" x14ac:dyDescent="0.2">
      <c r="A16" s="82"/>
      <c r="K16" s="47" t="s">
        <v>81</v>
      </c>
      <c r="N16" s="69"/>
    </row>
    <row r="17" spans="1:31" ht="21" x14ac:dyDescent="0.35">
      <c r="A17" s="82"/>
      <c r="B17" s="56" t="s">
        <v>24</v>
      </c>
      <c r="C17" s="56"/>
      <c r="D17" s="68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68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</row>
    <row r="18" spans="1:31" x14ac:dyDescent="0.2">
      <c r="A18" s="82"/>
      <c r="B18" s="82"/>
      <c r="C18" s="82"/>
      <c r="D18" s="234"/>
      <c r="E18" s="82"/>
      <c r="F18" s="82"/>
      <c r="G18" s="82"/>
      <c r="H18" s="82"/>
      <c r="I18" s="82"/>
      <c r="J18" s="82"/>
      <c r="K18" s="82"/>
      <c r="L18" s="82"/>
      <c r="Y18" s="83"/>
      <c r="Z18" s="83"/>
      <c r="AA18" s="83"/>
      <c r="AB18" s="83"/>
      <c r="AC18" s="83"/>
      <c r="AD18" s="83"/>
      <c r="AE18" s="83"/>
    </row>
    <row r="19" spans="1:31" ht="33" customHeight="1" x14ac:dyDescent="0.2">
      <c r="A19" s="82"/>
      <c r="B19" s="86" t="s">
        <v>14</v>
      </c>
      <c r="C19" s="95" t="s">
        <v>13</v>
      </c>
      <c r="D19" s="95" t="s">
        <v>55</v>
      </c>
      <c r="E19" s="97" t="s">
        <v>21</v>
      </c>
      <c r="F19" s="97" t="s">
        <v>205</v>
      </c>
      <c r="G19" s="97" t="s">
        <v>18</v>
      </c>
      <c r="H19" s="97" t="s">
        <v>19</v>
      </c>
      <c r="I19" s="97" t="s">
        <v>79</v>
      </c>
      <c r="J19" s="97" t="s">
        <v>20</v>
      </c>
      <c r="K19" s="97" t="s">
        <v>206</v>
      </c>
      <c r="L19" s="97" t="s">
        <v>47</v>
      </c>
    </row>
    <row r="20" spans="1:31" x14ac:dyDescent="0.2">
      <c r="A20" s="151"/>
      <c r="B20" s="63">
        <v>1</v>
      </c>
      <c r="C20" s="158" t="s">
        <v>96</v>
      </c>
      <c r="D20" s="148" t="s">
        <v>187</v>
      </c>
      <c r="E20" s="177">
        <v>193000000</v>
      </c>
      <c r="F20" s="177">
        <v>1</v>
      </c>
      <c r="G20" s="229">
        <v>2022</v>
      </c>
      <c r="H20" s="229">
        <v>2025</v>
      </c>
      <c r="I20" s="229">
        <v>2025</v>
      </c>
      <c r="J20" s="229">
        <v>50</v>
      </c>
      <c r="K20" s="229">
        <v>2074</v>
      </c>
      <c r="L20" s="174">
        <v>108080000</v>
      </c>
    </row>
    <row r="21" spans="1:31" x14ac:dyDescent="0.2">
      <c r="A21" s="151"/>
      <c r="B21" s="63">
        <v>1</v>
      </c>
      <c r="C21" s="158" t="s">
        <v>96</v>
      </c>
      <c r="D21" s="148" t="s">
        <v>188</v>
      </c>
      <c r="E21" s="177">
        <v>18000000</v>
      </c>
      <c r="F21" s="177">
        <v>1</v>
      </c>
      <c r="G21" s="229">
        <v>2022</v>
      </c>
      <c r="H21" s="229">
        <v>2025</v>
      </c>
      <c r="I21" s="229">
        <v>2025</v>
      </c>
      <c r="J21" s="229">
        <v>40</v>
      </c>
      <c r="K21" s="229">
        <v>2064</v>
      </c>
      <c r="L21" s="174">
        <v>8100000</v>
      </c>
    </row>
    <row r="22" spans="1:31" x14ac:dyDescent="0.2">
      <c r="A22" s="151"/>
      <c r="B22" s="63">
        <v>2</v>
      </c>
      <c r="C22" s="158" t="s">
        <v>97</v>
      </c>
      <c r="D22" s="148" t="s">
        <v>187</v>
      </c>
      <c r="E22" s="177">
        <v>282000000</v>
      </c>
      <c r="F22" s="177">
        <v>1</v>
      </c>
      <c r="G22" s="229">
        <v>2022</v>
      </c>
      <c r="H22" s="229">
        <v>2025</v>
      </c>
      <c r="I22" s="229">
        <v>2025</v>
      </c>
      <c r="J22" s="229">
        <v>50</v>
      </c>
      <c r="K22" s="229">
        <v>2074</v>
      </c>
      <c r="L22" s="174">
        <v>157920000</v>
      </c>
    </row>
    <row r="23" spans="1:31" x14ac:dyDescent="0.2">
      <c r="A23" s="151"/>
      <c r="B23" s="63">
        <v>2</v>
      </c>
      <c r="C23" s="158" t="s">
        <v>97</v>
      </c>
      <c r="D23" s="148" t="s">
        <v>188</v>
      </c>
      <c r="E23" s="177">
        <v>21000000</v>
      </c>
      <c r="F23" s="177">
        <v>1</v>
      </c>
      <c r="G23" s="229">
        <v>2022</v>
      </c>
      <c r="H23" s="229">
        <v>2025</v>
      </c>
      <c r="I23" s="229">
        <v>2025</v>
      </c>
      <c r="J23" s="229">
        <v>40</v>
      </c>
      <c r="K23" s="229">
        <v>2064</v>
      </c>
      <c r="L23" s="174">
        <v>9450000</v>
      </c>
    </row>
    <row r="24" spans="1:31" x14ac:dyDescent="0.2">
      <c r="A24" s="151"/>
      <c r="B24" s="63">
        <v>3</v>
      </c>
      <c r="C24" s="158" t="s">
        <v>98</v>
      </c>
      <c r="D24" s="148" t="s">
        <v>187</v>
      </c>
      <c r="E24" s="177">
        <v>370000000</v>
      </c>
      <c r="F24" s="177">
        <v>1</v>
      </c>
      <c r="G24" s="229">
        <v>2022</v>
      </c>
      <c r="H24" s="229">
        <v>2025</v>
      </c>
      <c r="I24" s="229">
        <v>2025</v>
      </c>
      <c r="J24" s="229">
        <v>50</v>
      </c>
      <c r="K24" s="229">
        <v>2074</v>
      </c>
      <c r="L24" s="174">
        <v>207200000</v>
      </c>
    </row>
    <row r="25" spans="1:31" x14ac:dyDescent="0.2">
      <c r="A25" s="151"/>
      <c r="B25" s="63">
        <v>3</v>
      </c>
      <c r="C25" s="256" t="s">
        <v>98</v>
      </c>
      <c r="D25" s="257" t="s">
        <v>188</v>
      </c>
      <c r="E25" s="177">
        <v>23000000</v>
      </c>
      <c r="F25" s="177">
        <v>1</v>
      </c>
      <c r="G25" s="229">
        <v>2022</v>
      </c>
      <c r="H25" s="229">
        <v>2025</v>
      </c>
      <c r="I25" s="229">
        <v>2025</v>
      </c>
      <c r="J25" s="229">
        <v>40</v>
      </c>
      <c r="K25" s="229">
        <v>2064</v>
      </c>
      <c r="L25" s="174">
        <v>10350000</v>
      </c>
    </row>
    <row r="26" spans="1:31" x14ac:dyDescent="0.2">
      <c r="A26" s="151"/>
      <c r="B26" s="63">
        <v>4</v>
      </c>
      <c r="C26" s="158" t="s">
        <v>99</v>
      </c>
      <c r="D26" s="148" t="s">
        <v>189</v>
      </c>
      <c r="E26" s="177">
        <v>50000000</v>
      </c>
      <c r="F26" s="177">
        <v>1</v>
      </c>
      <c r="G26" s="229">
        <v>2022</v>
      </c>
      <c r="H26" s="229">
        <v>2024</v>
      </c>
      <c r="I26" s="229">
        <v>2024</v>
      </c>
      <c r="J26" s="229">
        <v>40</v>
      </c>
      <c r="K26" s="229">
        <v>2063</v>
      </c>
      <c r="L26" s="174">
        <v>21250000</v>
      </c>
    </row>
    <row r="27" spans="1:31" x14ac:dyDescent="0.2">
      <c r="A27" s="151"/>
      <c r="B27" s="63">
        <v>5</v>
      </c>
      <c r="C27" s="158" t="s">
        <v>100</v>
      </c>
      <c r="D27" s="148" t="s">
        <v>187</v>
      </c>
      <c r="E27" s="177">
        <v>193000000</v>
      </c>
      <c r="F27" s="177">
        <v>1</v>
      </c>
      <c r="G27" s="229">
        <v>2022</v>
      </c>
      <c r="H27" s="229">
        <v>2025</v>
      </c>
      <c r="I27" s="229">
        <v>2025</v>
      </c>
      <c r="J27" s="229">
        <v>50</v>
      </c>
      <c r="K27" s="229">
        <v>2074</v>
      </c>
      <c r="L27" s="174">
        <v>108080000</v>
      </c>
    </row>
    <row r="28" spans="1:31" x14ac:dyDescent="0.2">
      <c r="A28" s="151"/>
      <c r="B28" s="63">
        <v>5</v>
      </c>
      <c r="C28" s="158" t="s">
        <v>100</v>
      </c>
      <c r="D28" s="148" t="s">
        <v>188</v>
      </c>
      <c r="E28" s="178">
        <v>18000000</v>
      </c>
      <c r="F28" s="178">
        <v>1</v>
      </c>
      <c r="G28" s="229">
        <v>2022</v>
      </c>
      <c r="H28" s="229">
        <v>2025</v>
      </c>
      <c r="I28" s="229">
        <v>2025</v>
      </c>
      <c r="J28" s="229">
        <v>40</v>
      </c>
      <c r="K28" s="229">
        <v>2064</v>
      </c>
      <c r="L28" s="174">
        <v>8100000</v>
      </c>
    </row>
    <row r="29" spans="1:31" x14ac:dyDescent="0.2">
      <c r="A29" s="151"/>
      <c r="B29" s="63">
        <v>5</v>
      </c>
      <c r="C29" s="158" t="s">
        <v>100</v>
      </c>
      <c r="D29" s="178" t="s">
        <v>240</v>
      </c>
      <c r="E29" s="178"/>
      <c r="F29" s="178">
        <v>0</v>
      </c>
      <c r="G29" s="229">
        <v>2022</v>
      </c>
      <c r="H29" s="229">
        <v>2022</v>
      </c>
      <c r="I29" s="229">
        <v>2022</v>
      </c>
      <c r="J29" s="229">
        <v>15</v>
      </c>
      <c r="K29" s="229">
        <v>2036</v>
      </c>
      <c r="L29" s="174"/>
    </row>
    <row r="30" spans="1:31" x14ac:dyDescent="0.2">
      <c r="A30" s="237"/>
      <c r="B30" s="63">
        <v>6</v>
      </c>
      <c r="C30" s="158" t="s">
        <v>174</v>
      </c>
      <c r="D30" s="178" t="s">
        <v>240</v>
      </c>
      <c r="E30" s="178"/>
      <c r="F30" s="178">
        <v>0</v>
      </c>
      <c r="G30" s="229">
        <v>2022</v>
      </c>
      <c r="H30" s="229">
        <v>2022</v>
      </c>
      <c r="I30" s="229">
        <v>2023</v>
      </c>
      <c r="J30" s="229">
        <v>20</v>
      </c>
      <c r="K30" s="229">
        <v>2042</v>
      </c>
      <c r="L30" s="174"/>
    </row>
    <row r="31" spans="1:31" x14ac:dyDescent="0.2">
      <c r="A31" s="151"/>
      <c r="B31" s="63">
        <v>6</v>
      </c>
      <c r="C31" s="158" t="s">
        <v>174</v>
      </c>
      <c r="D31" s="178" t="s">
        <v>240</v>
      </c>
      <c r="E31" s="178"/>
      <c r="F31" s="178">
        <v>0</v>
      </c>
      <c r="G31" s="229">
        <v>2042</v>
      </c>
      <c r="H31" s="229">
        <v>2042</v>
      </c>
      <c r="I31" s="229">
        <v>2043</v>
      </c>
      <c r="J31" s="229">
        <v>20</v>
      </c>
      <c r="K31" s="229">
        <v>2062</v>
      </c>
      <c r="L31" s="174"/>
    </row>
    <row r="32" spans="1:31" hidden="1" x14ac:dyDescent="0.2">
      <c r="A32" s="151"/>
      <c r="B32" s="63" t="s">
        <v>236</v>
      </c>
      <c r="C32" s="158"/>
      <c r="D32" s="148"/>
      <c r="E32" s="177"/>
      <c r="F32" s="177"/>
      <c r="G32" s="229"/>
      <c r="H32" s="229"/>
      <c r="I32" s="229"/>
      <c r="J32" s="229"/>
      <c r="K32" s="229"/>
      <c r="L32" s="174" t="e">
        <v>#DIV/0!</v>
      </c>
    </row>
    <row r="33" spans="1:31" hidden="1" x14ac:dyDescent="0.2">
      <c r="A33" s="151"/>
      <c r="B33" s="63" t="s">
        <v>236</v>
      </c>
      <c r="C33" s="158"/>
      <c r="D33" s="148"/>
      <c r="E33" s="178"/>
      <c r="F33" s="178"/>
      <c r="G33" s="229"/>
      <c r="H33" s="229"/>
      <c r="I33" s="229"/>
      <c r="J33" s="229"/>
      <c r="K33" s="229"/>
      <c r="L33" s="174" t="e">
        <v>#DIV/0!</v>
      </c>
    </row>
    <row r="34" spans="1:31" hidden="1" x14ac:dyDescent="0.2">
      <c r="A34" s="151"/>
      <c r="B34" s="63" t="s">
        <v>236</v>
      </c>
      <c r="C34" s="158"/>
      <c r="D34" s="148"/>
      <c r="E34" s="178"/>
      <c r="F34" s="178"/>
      <c r="G34" s="229"/>
      <c r="H34" s="229"/>
      <c r="I34" s="229"/>
      <c r="J34" s="229"/>
      <c r="K34" s="229"/>
      <c r="L34" s="174" t="e">
        <v>#DIV/0!</v>
      </c>
    </row>
    <row r="35" spans="1:31" hidden="1" x14ac:dyDescent="0.2">
      <c r="A35" s="151"/>
      <c r="B35" s="63" t="s">
        <v>236</v>
      </c>
      <c r="C35" s="158"/>
      <c r="D35" s="148"/>
      <c r="E35" s="178"/>
      <c r="F35" s="178"/>
      <c r="G35" s="229"/>
      <c r="H35" s="229"/>
      <c r="I35" s="229"/>
      <c r="J35" s="229"/>
      <c r="K35" s="229"/>
      <c r="L35" s="174" t="e">
        <v>#DIV/0!</v>
      </c>
    </row>
    <row r="36" spans="1:31" hidden="1" x14ac:dyDescent="0.2">
      <c r="A36" s="151"/>
      <c r="B36" s="63" t="s">
        <v>236</v>
      </c>
      <c r="C36" s="158"/>
      <c r="D36" s="148"/>
      <c r="E36" s="177"/>
      <c r="F36" s="177"/>
      <c r="G36" s="229"/>
      <c r="H36" s="229"/>
      <c r="I36" s="229"/>
      <c r="J36" s="229"/>
      <c r="K36" s="229"/>
      <c r="L36" s="174" t="e">
        <v>#DIV/0!</v>
      </c>
    </row>
    <row r="37" spans="1:31" hidden="1" x14ac:dyDescent="0.2">
      <c r="A37" s="151"/>
      <c r="B37" s="63" t="s">
        <v>236</v>
      </c>
      <c r="C37" s="158"/>
      <c r="D37" s="148"/>
      <c r="E37" s="178"/>
      <c r="F37" s="178"/>
      <c r="G37" s="229"/>
      <c r="H37" s="229"/>
      <c r="I37" s="229"/>
      <c r="J37" s="229"/>
      <c r="K37" s="229"/>
      <c r="L37" s="174" t="e">
        <v>#DIV/0!</v>
      </c>
    </row>
    <row r="38" spans="1:31" hidden="1" x14ac:dyDescent="0.2">
      <c r="A38" s="151"/>
      <c r="B38" s="63" t="s">
        <v>236</v>
      </c>
      <c r="C38" s="158"/>
      <c r="D38" s="148"/>
      <c r="E38" s="178"/>
      <c r="F38" s="178"/>
      <c r="G38" s="229"/>
      <c r="H38" s="229"/>
      <c r="I38" s="229"/>
      <c r="J38" s="229"/>
      <c r="K38" s="229"/>
      <c r="L38" s="174" t="e">
        <v>#DIV/0!</v>
      </c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</row>
    <row r="39" spans="1:31" hidden="1" x14ac:dyDescent="0.2">
      <c r="A39" s="151"/>
      <c r="B39" s="63" t="s">
        <v>236</v>
      </c>
      <c r="C39" s="158"/>
      <c r="D39" s="148"/>
      <c r="E39" s="178"/>
      <c r="F39" s="178"/>
      <c r="G39" s="229"/>
      <c r="H39" s="229"/>
      <c r="I39" s="229"/>
      <c r="J39" s="229"/>
      <c r="K39" s="229"/>
      <c r="L39" s="174" t="e">
        <v>#DIV/0!</v>
      </c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</row>
    <row r="40" spans="1:31" hidden="1" x14ac:dyDescent="0.2">
      <c r="A40" s="151"/>
      <c r="B40" s="63" t="s">
        <v>236</v>
      </c>
      <c r="C40" s="158"/>
      <c r="D40" s="148"/>
      <c r="E40" s="178"/>
      <c r="F40" s="178"/>
      <c r="G40" s="229"/>
      <c r="H40" s="229"/>
      <c r="I40" s="229"/>
      <c r="J40" s="229"/>
      <c r="K40" s="229"/>
      <c r="L40" s="174" t="e">
        <v>#DIV/0!</v>
      </c>
    </row>
    <row r="41" spans="1:31" hidden="1" x14ac:dyDescent="0.2">
      <c r="A41" s="151"/>
      <c r="B41" s="63" t="s">
        <v>236</v>
      </c>
      <c r="C41" s="158"/>
      <c r="D41" s="148"/>
      <c r="E41" s="178"/>
      <c r="F41" s="178"/>
      <c r="G41" s="229"/>
      <c r="H41" s="229"/>
      <c r="I41" s="229"/>
      <c r="J41" s="229"/>
      <c r="K41" s="229"/>
      <c r="L41" s="174" t="e">
        <v>#DIV/0!</v>
      </c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</row>
    <row r="42" spans="1:31" hidden="1" x14ac:dyDescent="0.2">
      <c r="A42" s="151"/>
      <c r="B42" s="63" t="s">
        <v>236</v>
      </c>
      <c r="C42" s="158"/>
      <c r="D42" s="148"/>
      <c r="E42" s="178"/>
      <c r="F42" s="178"/>
      <c r="G42" s="147"/>
      <c r="H42" s="147"/>
      <c r="I42" s="147"/>
      <c r="J42" s="147"/>
      <c r="K42" s="147"/>
      <c r="L42" s="174" t="e">
        <v>#DIV/0!</v>
      </c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</row>
    <row r="43" spans="1:31" hidden="1" x14ac:dyDescent="0.2">
      <c r="A43" s="151"/>
      <c r="B43" s="63" t="s">
        <v>236</v>
      </c>
      <c r="C43" s="158"/>
      <c r="D43" s="148"/>
      <c r="E43" s="178"/>
      <c r="F43" s="178"/>
      <c r="G43" s="147"/>
      <c r="H43" s="147"/>
      <c r="I43" s="147"/>
      <c r="J43" s="147"/>
      <c r="K43" s="147"/>
      <c r="L43" s="174" t="e">
        <v>#DIV/0!</v>
      </c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</row>
    <row r="44" spans="1:31" hidden="1" x14ac:dyDescent="0.2">
      <c r="A44" s="151"/>
      <c r="B44" s="63" t="s">
        <v>236</v>
      </c>
      <c r="C44" s="158"/>
      <c r="D44" s="148"/>
      <c r="E44" s="178"/>
      <c r="F44" s="178"/>
      <c r="G44" s="147"/>
      <c r="H44" s="147"/>
      <c r="I44" s="147"/>
      <c r="J44" s="147"/>
      <c r="K44" s="147"/>
      <c r="L44" s="179" t="e">
        <v>#DIV/0!</v>
      </c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</row>
    <row r="45" spans="1:31" hidden="1" x14ac:dyDescent="0.2">
      <c r="A45" s="151"/>
      <c r="B45" s="63" t="s">
        <v>236</v>
      </c>
      <c r="C45" s="158"/>
      <c r="D45" s="148"/>
      <c r="E45" s="178"/>
      <c r="F45" s="178"/>
      <c r="G45" s="147"/>
      <c r="H45" s="147"/>
      <c r="I45" s="147"/>
      <c r="J45" s="147"/>
      <c r="K45" s="147"/>
      <c r="L45" s="179" t="e">
        <v>#DIV/0!</v>
      </c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</row>
    <row r="46" spans="1:31" hidden="1" x14ac:dyDescent="0.2">
      <c r="A46" s="151"/>
      <c r="B46" s="63" t="s">
        <v>236</v>
      </c>
      <c r="C46" s="158"/>
      <c r="D46" s="148"/>
      <c r="E46" s="178"/>
      <c r="F46" s="178"/>
      <c r="G46" s="147"/>
      <c r="H46" s="147"/>
      <c r="I46" s="147"/>
      <c r="J46" s="147"/>
      <c r="K46" s="147"/>
      <c r="L46" s="179" t="e">
        <v>#DIV/0!</v>
      </c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</row>
    <row r="47" spans="1:31" hidden="1" x14ac:dyDescent="0.2">
      <c r="A47" s="151"/>
      <c r="B47" s="63" t="s">
        <v>236</v>
      </c>
      <c r="C47" s="158"/>
      <c r="D47" s="148"/>
      <c r="E47" s="178"/>
      <c r="F47" s="178"/>
      <c r="G47" s="147"/>
      <c r="H47" s="147"/>
      <c r="I47" s="147"/>
      <c r="J47" s="147"/>
      <c r="K47" s="147"/>
      <c r="L47" s="179" t="e">
        <v>#DIV/0!</v>
      </c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</row>
    <row r="48" spans="1:31" hidden="1" x14ac:dyDescent="0.2">
      <c r="A48" s="151"/>
      <c r="B48" s="63" t="s">
        <v>236</v>
      </c>
      <c r="C48" s="158"/>
      <c r="D48" s="148"/>
      <c r="E48" s="178"/>
      <c r="F48" s="178"/>
      <c r="G48" s="147"/>
      <c r="H48" s="147"/>
      <c r="I48" s="147"/>
      <c r="J48" s="147"/>
      <c r="K48" s="147"/>
      <c r="L48" s="179" t="e">
        <v>#DIV/0!</v>
      </c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</row>
    <row r="49" spans="1:31" hidden="1" x14ac:dyDescent="0.2">
      <c r="A49" s="151"/>
      <c r="B49" s="63" t="s">
        <v>236</v>
      </c>
      <c r="C49" s="158"/>
      <c r="D49" s="148"/>
      <c r="E49" s="178"/>
      <c r="F49" s="178"/>
      <c r="G49" s="147"/>
      <c r="H49" s="147"/>
      <c r="I49" s="147"/>
      <c r="J49" s="147"/>
      <c r="K49" s="147"/>
      <c r="L49" s="179" t="e">
        <v>#DIV/0!</v>
      </c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</row>
    <row r="50" spans="1:31" hidden="1" x14ac:dyDescent="0.2">
      <c r="A50" s="151"/>
      <c r="B50" s="63" t="s">
        <v>236</v>
      </c>
      <c r="C50" s="158"/>
      <c r="D50" s="148"/>
      <c r="E50" s="178"/>
      <c r="F50" s="178"/>
      <c r="G50" s="147"/>
      <c r="H50" s="147"/>
      <c r="I50" s="147"/>
      <c r="J50" s="147"/>
      <c r="K50" s="147"/>
      <c r="L50" s="179" t="e">
        <v>#DIV/0!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</row>
    <row r="51" spans="1:31" hidden="1" x14ac:dyDescent="0.2">
      <c r="A51" s="151"/>
      <c r="B51" s="63" t="s">
        <v>236</v>
      </c>
      <c r="C51" s="158"/>
      <c r="D51" s="148"/>
      <c r="E51" s="178"/>
      <c r="F51" s="178"/>
      <c r="G51" s="147"/>
      <c r="H51" s="147"/>
      <c r="I51" s="147"/>
      <c r="J51" s="147"/>
      <c r="K51" s="147"/>
      <c r="L51" s="179" t="e">
        <v>#DIV/0!</v>
      </c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</row>
    <row r="52" spans="1:31" hidden="1" x14ac:dyDescent="0.2">
      <c r="A52" s="151"/>
      <c r="B52" s="63" t="s">
        <v>236</v>
      </c>
      <c r="C52" s="158"/>
      <c r="D52" s="148"/>
      <c r="E52" s="178"/>
      <c r="F52" s="178"/>
      <c r="G52" s="147"/>
      <c r="H52" s="147"/>
      <c r="I52" s="147"/>
      <c r="J52" s="147"/>
      <c r="K52" s="147"/>
      <c r="L52" s="179" t="e">
        <v>#DIV/0!</v>
      </c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</row>
    <row r="53" spans="1:31" hidden="1" x14ac:dyDescent="0.2">
      <c r="A53" s="151"/>
      <c r="B53" s="63" t="s">
        <v>236</v>
      </c>
      <c r="C53" s="158"/>
      <c r="D53" s="148"/>
      <c r="E53" s="178"/>
      <c r="F53" s="178"/>
      <c r="G53" s="147"/>
      <c r="H53" s="147"/>
      <c r="I53" s="147"/>
      <c r="J53" s="147"/>
      <c r="K53" s="147"/>
      <c r="L53" s="179" t="e">
        <v>#DIV/0!</v>
      </c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</row>
    <row r="54" spans="1:31" hidden="1" x14ac:dyDescent="0.2">
      <c r="A54" s="151"/>
      <c r="B54" s="63" t="s">
        <v>236</v>
      </c>
      <c r="C54" s="158"/>
      <c r="D54" s="148"/>
      <c r="E54" s="178"/>
      <c r="F54" s="178"/>
      <c r="G54" s="147"/>
      <c r="H54" s="147"/>
      <c r="I54" s="147"/>
      <c r="J54" s="147"/>
      <c r="K54" s="147"/>
      <c r="L54" s="179" t="e">
        <v>#DIV/0!</v>
      </c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</row>
    <row r="55" spans="1:31" hidden="1" x14ac:dyDescent="0.2">
      <c r="A55" s="151"/>
      <c r="B55" s="63" t="s">
        <v>236</v>
      </c>
      <c r="C55" s="158"/>
      <c r="D55" s="148"/>
      <c r="E55" s="178"/>
      <c r="F55" s="178"/>
      <c r="G55" s="147"/>
      <c r="H55" s="147"/>
      <c r="I55" s="147"/>
      <c r="J55" s="147"/>
      <c r="K55" s="147"/>
      <c r="L55" s="179" t="e">
        <v>#DIV/0!</v>
      </c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</row>
    <row r="56" spans="1:31" hidden="1" x14ac:dyDescent="0.2">
      <c r="A56" s="78"/>
      <c r="B56" s="63" t="s">
        <v>236</v>
      </c>
      <c r="C56" s="158"/>
      <c r="D56" s="148"/>
      <c r="E56" s="178"/>
      <c r="F56" s="178"/>
      <c r="G56" s="147"/>
      <c r="H56" s="147"/>
      <c r="I56" s="147"/>
      <c r="J56" s="147"/>
      <c r="K56" s="147"/>
      <c r="L56" s="179" t="e">
        <v>#DIV/0!</v>
      </c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</row>
    <row r="57" spans="1:31" hidden="1" x14ac:dyDescent="0.2">
      <c r="A57" s="78"/>
      <c r="B57" s="63" t="s">
        <v>236</v>
      </c>
      <c r="C57" s="158"/>
      <c r="D57" s="148"/>
      <c r="E57" s="178"/>
      <c r="F57" s="178"/>
      <c r="G57" s="147"/>
      <c r="H57" s="147"/>
      <c r="I57" s="147"/>
      <c r="J57" s="147"/>
      <c r="K57" s="147"/>
      <c r="L57" s="179" t="e">
        <v>#DIV/0!</v>
      </c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</row>
    <row r="58" spans="1:31" hidden="1" x14ac:dyDescent="0.2">
      <c r="A58" s="78"/>
      <c r="B58" s="63" t="s">
        <v>236</v>
      </c>
      <c r="C58" s="158"/>
      <c r="D58" s="148"/>
      <c r="E58" s="178"/>
      <c r="F58" s="178"/>
      <c r="G58" s="147"/>
      <c r="H58" s="147"/>
      <c r="I58" s="147"/>
      <c r="J58" s="147"/>
      <c r="K58" s="147"/>
      <c r="L58" s="179" t="e">
        <v>#DIV/0!</v>
      </c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</row>
    <row r="59" spans="1:31" hidden="1" x14ac:dyDescent="0.2">
      <c r="A59" s="78"/>
      <c r="B59" s="63" t="s">
        <v>236</v>
      </c>
      <c r="C59" s="158"/>
      <c r="D59" s="148"/>
      <c r="E59" s="178"/>
      <c r="F59" s="178"/>
      <c r="G59" s="147"/>
      <c r="H59" s="147"/>
      <c r="I59" s="147"/>
      <c r="J59" s="147"/>
      <c r="K59" s="147"/>
      <c r="L59" s="179" t="e">
        <v>#DIV/0!</v>
      </c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</row>
    <row r="60" spans="1:31" hidden="1" x14ac:dyDescent="0.2">
      <c r="A60" s="78"/>
      <c r="B60" s="63" t="s">
        <v>236</v>
      </c>
      <c r="C60" s="158"/>
      <c r="D60" s="148"/>
      <c r="E60" s="178"/>
      <c r="F60" s="178"/>
      <c r="G60" s="147"/>
      <c r="H60" s="147"/>
      <c r="I60" s="147"/>
      <c r="J60" s="147"/>
      <c r="K60" s="147"/>
      <c r="L60" s="179" t="e">
        <v>#DIV/0!</v>
      </c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</row>
    <row r="61" spans="1:31" hidden="1" x14ac:dyDescent="0.2">
      <c r="A61" s="78"/>
      <c r="B61" s="63" t="s">
        <v>236</v>
      </c>
      <c r="C61" s="75"/>
      <c r="D61" s="235"/>
      <c r="E61" s="123"/>
      <c r="F61" s="123"/>
      <c r="G61" s="122"/>
      <c r="H61" s="122"/>
      <c r="I61" s="122"/>
      <c r="J61" s="124"/>
      <c r="K61" s="124"/>
      <c r="L61" s="179" t="e">
        <v>#DIV/0!</v>
      </c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</row>
    <row r="62" spans="1:31" hidden="1" x14ac:dyDescent="0.2">
      <c r="A62" s="78"/>
      <c r="B62" s="63" t="s">
        <v>236</v>
      </c>
      <c r="C62" s="75"/>
      <c r="D62" s="235"/>
      <c r="E62" s="123"/>
      <c r="F62" s="123"/>
      <c r="G62" s="122"/>
      <c r="H62" s="122"/>
      <c r="I62" s="122"/>
      <c r="J62" s="124"/>
      <c r="K62" s="124"/>
      <c r="L62" s="179" t="e">
        <v>#DIV/0!</v>
      </c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</row>
    <row r="63" spans="1:31" hidden="1" x14ac:dyDescent="0.2">
      <c r="A63" s="78"/>
      <c r="B63" s="63" t="s">
        <v>236</v>
      </c>
      <c r="C63" s="75"/>
      <c r="D63" s="235"/>
      <c r="E63" s="123"/>
      <c r="F63" s="123"/>
      <c r="G63" s="122"/>
      <c r="H63" s="122"/>
      <c r="I63" s="122"/>
      <c r="J63" s="124"/>
      <c r="K63" s="124"/>
      <c r="L63" s="179" t="e">
        <v>#DIV/0!</v>
      </c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</row>
    <row r="64" spans="1:31" hidden="1" x14ac:dyDescent="0.2">
      <c r="A64" s="78"/>
      <c r="B64" s="63" t="s">
        <v>236</v>
      </c>
      <c r="C64" s="75"/>
      <c r="D64" s="235"/>
      <c r="E64" s="123"/>
      <c r="F64" s="123"/>
      <c r="G64" s="122"/>
      <c r="H64" s="122"/>
      <c r="I64" s="122"/>
      <c r="J64" s="124"/>
      <c r="K64" s="124"/>
      <c r="L64" s="179" t="e">
        <v>#DIV/0!</v>
      </c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</row>
    <row r="65" spans="1:31" hidden="1" x14ac:dyDescent="0.2">
      <c r="A65" s="78"/>
      <c r="B65" s="63" t="s">
        <v>236</v>
      </c>
      <c r="C65" s="75"/>
      <c r="D65" s="235"/>
      <c r="E65" s="123"/>
      <c r="F65" s="123"/>
      <c r="G65" s="122"/>
      <c r="H65" s="122"/>
      <c r="I65" s="122"/>
      <c r="J65" s="124"/>
      <c r="K65" s="124"/>
      <c r="L65" s="179" t="e">
        <v>#DIV/0!</v>
      </c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</row>
    <row r="66" spans="1:31" hidden="1" x14ac:dyDescent="0.2">
      <c r="A66" s="78"/>
      <c r="B66" s="63" t="s">
        <v>236</v>
      </c>
      <c r="C66" s="75"/>
      <c r="D66" s="235"/>
      <c r="E66" s="123"/>
      <c r="F66" s="123"/>
      <c r="G66" s="122"/>
      <c r="H66" s="122"/>
      <c r="I66" s="122"/>
      <c r="J66" s="124"/>
      <c r="K66" s="124"/>
      <c r="L66" s="179" t="e">
        <v>#DIV/0!</v>
      </c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</row>
    <row r="67" spans="1:31" hidden="1" x14ac:dyDescent="0.2">
      <c r="A67" s="78"/>
      <c r="B67" s="63" t="s">
        <v>236</v>
      </c>
      <c r="C67" s="75"/>
      <c r="D67" s="235"/>
      <c r="E67" s="123"/>
      <c r="F67" s="123"/>
      <c r="G67" s="122"/>
      <c r="H67" s="122"/>
      <c r="I67" s="122"/>
      <c r="J67" s="124"/>
      <c r="K67" s="124"/>
      <c r="L67" s="179" t="e">
        <v>#DIV/0!</v>
      </c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</row>
    <row r="68" spans="1:31" hidden="1" x14ac:dyDescent="0.2">
      <c r="A68" s="78"/>
      <c r="B68" s="63" t="s">
        <v>236</v>
      </c>
      <c r="C68" s="75"/>
      <c r="D68" s="235"/>
      <c r="E68" s="123"/>
      <c r="F68" s="123"/>
      <c r="G68" s="122"/>
      <c r="H68" s="122"/>
      <c r="I68" s="122"/>
      <c r="J68" s="124"/>
      <c r="K68" s="124"/>
      <c r="L68" s="179" t="e">
        <v>#DIV/0!</v>
      </c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</row>
    <row r="69" spans="1:31" hidden="1" x14ac:dyDescent="0.2">
      <c r="A69" s="78"/>
      <c r="B69" s="63" t="s">
        <v>236</v>
      </c>
      <c r="C69" s="75"/>
      <c r="D69" s="235"/>
      <c r="E69" s="123"/>
      <c r="F69" s="123"/>
      <c r="G69" s="122"/>
      <c r="H69" s="122"/>
      <c r="I69" s="122"/>
      <c r="J69" s="124"/>
      <c r="K69" s="124"/>
      <c r="L69" s="179" t="e">
        <v>#DIV/0!</v>
      </c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</row>
    <row r="70" spans="1:31" hidden="1" x14ac:dyDescent="0.2">
      <c r="A70" s="78"/>
      <c r="B70" s="63" t="s">
        <v>236</v>
      </c>
      <c r="C70" s="75"/>
      <c r="D70" s="235"/>
      <c r="E70" s="123"/>
      <c r="F70" s="123"/>
      <c r="G70" s="122"/>
      <c r="H70" s="122"/>
      <c r="I70" s="122"/>
      <c r="J70" s="124"/>
      <c r="K70" s="124"/>
      <c r="L70" s="179" t="e">
        <v>#DIV/0!</v>
      </c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</row>
    <row r="71" spans="1:31" hidden="1" x14ac:dyDescent="0.2">
      <c r="A71" s="78"/>
      <c r="B71" s="63" t="s">
        <v>236</v>
      </c>
      <c r="C71" s="75"/>
      <c r="D71" s="235"/>
      <c r="E71" s="123"/>
      <c r="F71" s="123"/>
      <c r="G71" s="122"/>
      <c r="H71" s="122"/>
      <c r="I71" s="122"/>
      <c r="J71" s="124"/>
      <c r="K71" s="124"/>
      <c r="L71" s="179" t="e">
        <v>#DIV/0!</v>
      </c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</row>
    <row r="72" spans="1:31" hidden="1" x14ac:dyDescent="0.2">
      <c r="A72" s="78"/>
      <c r="B72" s="63" t="s">
        <v>236</v>
      </c>
      <c r="C72" s="75"/>
      <c r="D72" s="235"/>
      <c r="E72" s="123"/>
      <c r="F72" s="123"/>
      <c r="G72" s="122"/>
      <c r="H72" s="122"/>
      <c r="I72" s="122"/>
      <c r="J72" s="124"/>
      <c r="K72" s="124"/>
      <c r="L72" s="179" t="e">
        <v>#DIV/0!</v>
      </c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</row>
    <row r="73" spans="1:31" hidden="1" x14ac:dyDescent="0.2">
      <c r="A73" s="78"/>
      <c r="B73" s="63" t="s">
        <v>236</v>
      </c>
      <c r="C73" s="75"/>
      <c r="D73" s="235"/>
      <c r="E73" s="123"/>
      <c r="F73" s="123"/>
      <c r="G73" s="122"/>
      <c r="H73" s="122"/>
      <c r="I73" s="122"/>
      <c r="J73" s="124"/>
      <c r="K73" s="124"/>
      <c r="L73" s="179" t="e">
        <v>#DIV/0!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</row>
    <row r="74" spans="1:31" hidden="1" x14ac:dyDescent="0.2">
      <c r="A74" s="78"/>
      <c r="B74" s="63" t="s">
        <v>236</v>
      </c>
      <c r="C74" s="75"/>
      <c r="D74" s="235"/>
      <c r="E74" s="123"/>
      <c r="F74" s="123"/>
      <c r="G74" s="122"/>
      <c r="H74" s="122"/>
      <c r="I74" s="122"/>
      <c r="J74" s="124"/>
      <c r="K74" s="124"/>
      <c r="L74" s="179" t="e">
        <v>#DIV/0!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</row>
    <row r="75" spans="1:31" hidden="1" x14ac:dyDescent="0.2">
      <c r="A75" s="78"/>
      <c r="B75" s="63" t="s">
        <v>236</v>
      </c>
      <c r="C75" s="75"/>
      <c r="D75" s="235"/>
      <c r="E75" s="123"/>
      <c r="F75" s="123"/>
      <c r="G75" s="122"/>
      <c r="H75" s="122"/>
      <c r="I75" s="122"/>
      <c r="J75" s="124"/>
      <c r="K75" s="124"/>
      <c r="L75" s="179" t="e">
        <v>#DIV/0!</v>
      </c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</row>
    <row r="76" spans="1:31" hidden="1" x14ac:dyDescent="0.2">
      <c r="A76" s="78"/>
      <c r="B76" s="63" t="s">
        <v>236</v>
      </c>
      <c r="C76" s="75"/>
      <c r="D76" s="235"/>
      <c r="E76" s="123"/>
      <c r="F76" s="123"/>
      <c r="G76" s="122"/>
      <c r="H76" s="122"/>
      <c r="I76" s="122"/>
      <c r="J76" s="124"/>
      <c r="K76" s="124"/>
      <c r="L76" s="179" t="e">
        <v>#DIV/0!</v>
      </c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</row>
    <row r="77" spans="1:31" hidden="1" x14ac:dyDescent="0.2">
      <c r="A77" s="78"/>
      <c r="B77" s="63" t="s">
        <v>236</v>
      </c>
      <c r="C77" s="75"/>
      <c r="D77" s="235"/>
      <c r="E77" s="123"/>
      <c r="F77" s="123"/>
      <c r="G77" s="122"/>
      <c r="H77" s="122"/>
      <c r="I77" s="122"/>
      <c r="J77" s="124"/>
      <c r="K77" s="124"/>
      <c r="L77" s="179" t="e">
        <v>#DIV/0!</v>
      </c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</row>
    <row r="78" spans="1:31" hidden="1" x14ac:dyDescent="0.2">
      <c r="A78" s="78"/>
      <c r="B78" s="63" t="s">
        <v>236</v>
      </c>
      <c r="C78" s="75"/>
      <c r="D78" s="235"/>
      <c r="E78" s="123"/>
      <c r="F78" s="123"/>
      <c r="G78" s="122"/>
      <c r="H78" s="122"/>
      <c r="I78" s="122"/>
      <c r="J78" s="124"/>
      <c r="K78" s="124"/>
      <c r="L78" s="179" t="e">
        <v>#DIV/0!</v>
      </c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</row>
    <row r="79" spans="1:31" hidden="1" x14ac:dyDescent="0.2">
      <c r="A79" s="78"/>
      <c r="B79" s="63" t="s">
        <v>236</v>
      </c>
      <c r="C79" s="75"/>
      <c r="D79" s="235"/>
      <c r="E79" s="123"/>
      <c r="F79" s="123"/>
      <c r="G79" s="122"/>
      <c r="H79" s="122"/>
      <c r="I79" s="122"/>
      <c r="J79" s="124"/>
      <c r="K79" s="124"/>
      <c r="L79" s="179" t="e">
        <v>#DIV/0!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</row>
    <row r="80" spans="1:31" hidden="1" x14ac:dyDescent="0.2">
      <c r="A80" s="78"/>
      <c r="B80" s="63" t="s">
        <v>236</v>
      </c>
      <c r="C80" s="75"/>
      <c r="D80" s="235"/>
      <c r="E80" s="123"/>
      <c r="F80" s="123"/>
      <c r="G80" s="122"/>
      <c r="H80" s="122"/>
      <c r="I80" s="122"/>
      <c r="J80" s="124"/>
      <c r="K80" s="124"/>
      <c r="L80" s="179" t="e">
        <v>#DIV/0!</v>
      </c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</row>
    <row r="81" spans="1:31" hidden="1" x14ac:dyDescent="0.2">
      <c r="A81" s="78"/>
      <c r="B81" s="63" t="s">
        <v>236</v>
      </c>
      <c r="C81" s="75"/>
      <c r="D81" s="235"/>
      <c r="E81" s="123"/>
      <c r="F81" s="123"/>
      <c r="G81" s="122"/>
      <c r="H81" s="122"/>
      <c r="I81" s="122"/>
      <c r="J81" s="124"/>
      <c r="K81" s="124"/>
      <c r="L81" s="179" t="e">
        <v>#DIV/0!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</row>
    <row r="82" spans="1:31" hidden="1" x14ac:dyDescent="0.2">
      <c r="A82" s="78"/>
      <c r="B82" s="63" t="s">
        <v>236</v>
      </c>
      <c r="C82" s="75"/>
      <c r="D82" s="235"/>
      <c r="E82" s="123"/>
      <c r="F82" s="123"/>
      <c r="G82" s="122"/>
      <c r="H82" s="122"/>
      <c r="I82" s="122"/>
      <c r="J82" s="124"/>
      <c r="K82" s="124"/>
      <c r="L82" s="179" t="e">
        <v>#DIV/0!</v>
      </c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</row>
    <row r="83" spans="1:31" hidden="1" x14ac:dyDescent="0.2">
      <c r="A83" s="78"/>
      <c r="B83" s="63" t="s">
        <v>236</v>
      </c>
      <c r="C83" s="75"/>
      <c r="D83" s="235"/>
      <c r="E83" s="123"/>
      <c r="F83" s="123"/>
      <c r="G83" s="122"/>
      <c r="H83" s="122"/>
      <c r="I83" s="122"/>
      <c r="J83" s="124"/>
      <c r="K83" s="124"/>
      <c r="L83" s="179" t="e">
        <v>#DIV/0!</v>
      </c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</row>
    <row r="84" spans="1:31" hidden="1" x14ac:dyDescent="0.2">
      <c r="A84" s="78"/>
      <c r="B84" s="63" t="s">
        <v>236</v>
      </c>
      <c r="C84" s="75"/>
      <c r="D84" s="235"/>
      <c r="E84" s="123"/>
      <c r="F84" s="123"/>
      <c r="G84" s="122"/>
      <c r="H84" s="122"/>
      <c r="I84" s="122"/>
      <c r="J84" s="124"/>
      <c r="K84" s="124"/>
      <c r="L84" s="179" t="e">
        <v>#DIV/0!</v>
      </c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</row>
    <row r="85" spans="1:31" hidden="1" x14ac:dyDescent="0.2">
      <c r="A85" s="78"/>
      <c r="B85" s="63" t="s">
        <v>236</v>
      </c>
      <c r="C85" s="75"/>
      <c r="D85" s="235"/>
      <c r="E85" s="123"/>
      <c r="F85" s="123"/>
      <c r="G85" s="122"/>
      <c r="H85" s="122"/>
      <c r="I85" s="122"/>
      <c r="J85" s="124"/>
      <c r="K85" s="124"/>
      <c r="L85" s="179" t="e">
        <v>#DIV/0!</v>
      </c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</row>
    <row r="86" spans="1:31" hidden="1" x14ac:dyDescent="0.2">
      <c r="A86" s="78"/>
      <c r="B86" s="63" t="s">
        <v>236</v>
      </c>
      <c r="C86" s="75"/>
      <c r="D86" s="235"/>
      <c r="E86" s="123"/>
      <c r="F86" s="123"/>
      <c r="G86" s="122"/>
      <c r="H86" s="122"/>
      <c r="I86" s="122"/>
      <c r="J86" s="124"/>
      <c r="K86" s="124"/>
      <c r="L86" s="179" t="e">
        <v>#DIV/0!</v>
      </c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</row>
    <row r="87" spans="1:31" hidden="1" x14ac:dyDescent="0.2">
      <c r="A87" s="78"/>
      <c r="B87" s="63" t="s">
        <v>236</v>
      </c>
      <c r="C87" s="75"/>
      <c r="D87" s="235"/>
      <c r="E87" s="123"/>
      <c r="F87" s="123"/>
      <c r="G87" s="122"/>
      <c r="H87" s="122"/>
      <c r="I87" s="122"/>
      <c r="J87" s="124"/>
      <c r="K87" s="124"/>
      <c r="L87" s="179" t="e">
        <v>#DIV/0!</v>
      </c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</row>
    <row r="88" spans="1:31" hidden="1" x14ac:dyDescent="0.2">
      <c r="A88" s="78"/>
      <c r="B88" s="63" t="s">
        <v>236</v>
      </c>
      <c r="C88" s="75"/>
      <c r="D88" s="235"/>
      <c r="E88" s="123"/>
      <c r="F88" s="123"/>
      <c r="G88" s="122"/>
      <c r="H88" s="122"/>
      <c r="I88" s="122"/>
      <c r="J88" s="124"/>
      <c r="K88" s="124"/>
      <c r="L88" s="179" t="e">
        <v>#DIV/0!</v>
      </c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</row>
    <row r="89" spans="1:31" hidden="1" x14ac:dyDescent="0.2">
      <c r="A89" s="78"/>
      <c r="B89" s="63" t="s">
        <v>236</v>
      </c>
      <c r="C89" s="75"/>
      <c r="D89" s="235"/>
      <c r="E89" s="123"/>
      <c r="F89" s="123"/>
      <c r="G89" s="122"/>
      <c r="H89" s="122"/>
      <c r="I89" s="122"/>
      <c r="J89" s="124"/>
      <c r="K89" s="124"/>
      <c r="L89" s="179" t="e">
        <v>#DIV/0!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</row>
    <row r="90" spans="1:31" hidden="1" x14ac:dyDescent="0.2">
      <c r="A90" s="78"/>
      <c r="B90" s="63" t="s">
        <v>236</v>
      </c>
      <c r="C90" s="75"/>
      <c r="D90" s="235"/>
      <c r="E90" s="123"/>
      <c r="F90" s="123"/>
      <c r="G90" s="122"/>
      <c r="H90" s="122"/>
      <c r="I90" s="122"/>
      <c r="J90" s="124"/>
      <c r="K90" s="124"/>
      <c r="L90" s="179" t="e">
        <v>#DIV/0!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</row>
    <row r="91" spans="1:31" hidden="1" x14ac:dyDescent="0.2">
      <c r="A91" s="78"/>
      <c r="B91" s="63" t="s">
        <v>236</v>
      </c>
      <c r="C91" s="75"/>
      <c r="D91" s="235"/>
      <c r="E91" s="123"/>
      <c r="F91" s="123"/>
      <c r="G91" s="122"/>
      <c r="H91" s="122"/>
      <c r="I91" s="122"/>
      <c r="J91" s="124"/>
      <c r="K91" s="124"/>
      <c r="L91" s="179" t="e">
        <v>#DIV/0!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</row>
    <row r="92" spans="1:31" hidden="1" x14ac:dyDescent="0.2">
      <c r="A92" s="78"/>
      <c r="B92" s="63" t="s">
        <v>236</v>
      </c>
      <c r="C92" s="75"/>
      <c r="D92" s="235"/>
      <c r="E92" s="123"/>
      <c r="F92" s="123"/>
      <c r="G92" s="122"/>
      <c r="H92" s="122"/>
      <c r="I92" s="122"/>
      <c r="J92" s="124"/>
      <c r="K92" s="124"/>
      <c r="L92" s="179" t="e">
        <v>#DIV/0!</v>
      </c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</row>
    <row r="93" spans="1:31" hidden="1" x14ac:dyDescent="0.2">
      <c r="A93" s="78"/>
      <c r="B93" s="63" t="s">
        <v>236</v>
      </c>
      <c r="C93" s="75"/>
      <c r="D93" s="235"/>
      <c r="E93" s="123"/>
      <c r="F93" s="123"/>
      <c r="G93" s="122"/>
      <c r="H93" s="122"/>
      <c r="I93" s="122"/>
      <c r="J93" s="124"/>
      <c r="K93" s="124"/>
      <c r="L93" s="179" t="e">
        <v>#DIV/0!</v>
      </c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</row>
    <row r="94" spans="1:31" hidden="1" x14ac:dyDescent="0.2">
      <c r="A94" s="78"/>
      <c r="B94" s="63" t="s">
        <v>236</v>
      </c>
      <c r="C94" s="75"/>
      <c r="D94" s="235"/>
      <c r="E94" s="123"/>
      <c r="F94" s="123"/>
      <c r="G94" s="122"/>
      <c r="H94" s="122"/>
      <c r="I94" s="122"/>
      <c r="J94" s="124"/>
      <c r="K94" s="124"/>
      <c r="L94" s="179" t="e">
        <v>#DIV/0!</v>
      </c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</row>
    <row r="95" spans="1:31" hidden="1" x14ac:dyDescent="0.2">
      <c r="A95" s="78"/>
      <c r="B95" s="63" t="s">
        <v>236</v>
      </c>
      <c r="C95" s="75"/>
      <c r="D95" s="235"/>
      <c r="E95" s="123"/>
      <c r="F95" s="123"/>
      <c r="G95" s="122"/>
      <c r="H95" s="122"/>
      <c r="I95" s="122"/>
      <c r="J95" s="124"/>
      <c r="K95" s="124"/>
      <c r="L95" s="179" t="e">
        <v>#DIV/0!</v>
      </c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</row>
    <row r="96" spans="1:31" hidden="1" x14ac:dyDescent="0.2">
      <c r="A96" s="78"/>
      <c r="B96" s="63" t="s">
        <v>236</v>
      </c>
      <c r="C96" s="75"/>
      <c r="D96" s="235"/>
      <c r="E96" s="123"/>
      <c r="F96" s="123"/>
      <c r="G96" s="122"/>
      <c r="H96" s="122"/>
      <c r="I96" s="122"/>
      <c r="J96" s="124"/>
      <c r="K96" s="124"/>
      <c r="L96" s="179" t="e">
        <v>#DIV/0!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</row>
    <row r="97" spans="1:31" hidden="1" x14ac:dyDescent="0.2">
      <c r="A97" s="78"/>
      <c r="B97" s="63" t="s">
        <v>236</v>
      </c>
      <c r="C97" s="75"/>
      <c r="D97" s="235"/>
      <c r="E97" s="123"/>
      <c r="F97" s="123"/>
      <c r="G97" s="122"/>
      <c r="H97" s="122"/>
      <c r="I97" s="122"/>
      <c r="J97" s="124"/>
      <c r="K97" s="124"/>
      <c r="L97" s="179" t="e">
        <v>#DIV/0!</v>
      </c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</row>
    <row r="98" spans="1:31" hidden="1" x14ac:dyDescent="0.2">
      <c r="A98" s="78"/>
      <c r="B98" s="63" t="s">
        <v>236</v>
      </c>
      <c r="C98" s="75"/>
      <c r="D98" s="235"/>
      <c r="E98" s="123"/>
      <c r="F98" s="123"/>
      <c r="G98" s="122"/>
      <c r="H98" s="122"/>
      <c r="I98" s="122"/>
      <c r="J98" s="124"/>
      <c r="K98" s="124"/>
      <c r="L98" s="179" t="e">
        <v>#DIV/0!</v>
      </c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</row>
    <row r="99" spans="1:31" hidden="1" x14ac:dyDescent="0.2">
      <c r="A99" s="78"/>
      <c r="B99" s="63" t="s">
        <v>236</v>
      </c>
      <c r="C99" s="75"/>
      <c r="D99" s="235"/>
      <c r="E99" s="123"/>
      <c r="F99" s="123"/>
      <c r="G99" s="122"/>
      <c r="H99" s="122"/>
      <c r="I99" s="122"/>
      <c r="J99" s="124"/>
      <c r="K99" s="124"/>
      <c r="L99" s="179" t="e">
        <v>#DIV/0!</v>
      </c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</row>
    <row r="100" spans="1:31" x14ac:dyDescent="0.2">
      <c r="A100" s="78"/>
      <c r="B100" s="99"/>
      <c r="E100" s="96"/>
      <c r="F100" s="96"/>
      <c r="G100" s="96"/>
      <c r="H100" s="96"/>
      <c r="I100" s="96"/>
      <c r="J100" s="96"/>
    </row>
    <row r="101" spans="1:31" x14ac:dyDescent="0.2">
      <c r="A101" s="78"/>
      <c r="B101" s="99"/>
      <c r="E101" s="96"/>
      <c r="F101" s="96"/>
      <c r="G101" s="96"/>
      <c r="H101" s="96"/>
      <c r="I101" s="96"/>
    </row>
    <row r="102" spans="1:31" ht="15.75" x14ac:dyDescent="0.25">
      <c r="A102" s="78"/>
      <c r="B102" s="57" t="s">
        <v>203</v>
      </c>
      <c r="C102" s="57"/>
      <c r="D102" s="109"/>
      <c r="E102" s="66"/>
      <c r="F102" s="57">
        <v>2021</v>
      </c>
      <c r="G102" s="57">
        <v>2022</v>
      </c>
      <c r="H102" s="57">
        <v>2023</v>
      </c>
      <c r="I102" s="57">
        <v>2024</v>
      </c>
      <c r="J102" s="57">
        <v>2025</v>
      </c>
      <c r="K102" s="57">
        <v>2026</v>
      </c>
      <c r="L102" s="57">
        <v>2027</v>
      </c>
      <c r="M102" s="57">
        <v>2028</v>
      </c>
      <c r="N102" s="57">
        <v>2029</v>
      </c>
      <c r="O102" s="57">
        <v>2030</v>
      </c>
      <c r="P102" s="57">
        <v>2031</v>
      </c>
      <c r="Q102" s="57">
        <v>2032</v>
      </c>
      <c r="R102" s="57">
        <v>2033</v>
      </c>
      <c r="S102" s="57">
        <v>2034</v>
      </c>
      <c r="T102" s="57">
        <v>2035</v>
      </c>
      <c r="U102" s="57">
        <v>2036</v>
      </c>
      <c r="V102" s="57">
        <v>2037</v>
      </c>
      <c r="W102" s="57">
        <v>2038</v>
      </c>
      <c r="X102" s="57">
        <v>2039</v>
      </c>
      <c r="Y102" s="57">
        <v>2040</v>
      </c>
      <c r="Z102" s="57">
        <v>2041</v>
      </c>
      <c r="AA102" s="57">
        <v>2042</v>
      </c>
      <c r="AB102" s="57">
        <v>2043</v>
      </c>
      <c r="AC102" s="57">
        <v>2044</v>
      </c>
      <c r="AD102" s="57">
        <v>2045</v>
      </c>
      <c r="AE102" s="57">
        <v>2046</v>
      </c>
    </row>
    <row r="103" spans="1:31" ht="15.75" x14ac:dyDescent="0.25">
      <c r="A103" s="78"/>
      <c r="B103" s="58" t="s">
        <v>14</v>
      </c>
      <c r="C103" s="58" t="s">
        <v>13</v>
      </c>
      <c r="D103" s="76"/>
      <c r="E103" s="62" t="s">
        <v>7</v>
      </c>
      <c r="F103" s="143" t="s">
        <v>103</v>
      </c>
      <c r="G103" s="143" t="s">
        <v>104</v>
      </c>
      <c r="H103" s="143" t="s">
        <v>105</v>
      </c>
      <c r="I103" s="143" t="s">
        <v>106</v>
      </c>
      <c r="J103" s="143" t="s">
        <v>107</v>
      </c>
      <c r="K103" s="143" t="s">
        <v>108</v>
      </c>
      <c r="L103" s="143" t="s">
        <v>109</v>
      </c>
      <c r="M103" s="143" t="s">
        <v>110</v>
      </c>
      <c r="N103" s="143" t="s">
        <v>111</v>
      </c>
      <c r="O103" s="143" t="s">
        <v>112</v>
      </c>
      <c r="P103" s="143" t="s">
        <v>113</v>
      </c>
      <c r="Q103" s="143" t="s">
        <v>114</v>
      </c>
      <c r="R103" s="143" t="s">
        <v>115</v>
      </c>
      <c r="S103" s="143" t="s">
        <v>116</v>
      </c>
      <c r="T103" s="143" t="s">
        <v>117</v>
      </c>
      <c r="U103" s="143" t="s">
        <v>118</v>
      </c>
      <c r="V103" s="143" t="s">
        <v>119</v>
      </c>
      <c r="W103" s="143" t="s">
        <v>120</v>
      </c>
      <c r="X103" s="143" t="s">
        <v>121</v>
      </c>
      <c r="Y103" s="143" t="s">
        <v>122</v>
      </c>
      <c r="Z103" s="143" t="s">
        <v>123</v>
      </c>
      <c r="AA103" s="143" t="s">
        <v>124</v>
      </c>
      <c r="AB103" s="143" t="s">
        <v>125</v>
      </c>
      <c r="AC103" s="143" t="s">
        <v>126</v>
      </c>
      <c r="AD103" s="143" t="s">
        <v>127</v>
      </c>
      <c r="AE103" s="143" t="s">
        <v>153</v>
      </c>
    </row>
    <row r="104" spans="1:31" x14ac:dyDescent="0.2">
      <c r="B104" s="8">
        <v>0</v>
      </c>
      <c r="C104" s="116" t="s">
        <v>15</v>
      </c>
      <c r="D104" s="216"/>
      <c r="E104" s="67" t="s">
        <v>35</v>
      </c>
      <c r="F104" s="178">
        <v>0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78">
        <v>0</v>
      </c>
      <c r="N104" s="178">
        <v>0</v>
      </c>
      <c r="O104" s="178">
        <v>0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8">
        <v>0</v>
      </c>
      <c r="AC104" s="178">
        <v>0</v>
      </c>
      <c r="AD104" s="178">
        <v>0</v>
      </c>
      <c r="AE104" s="178">
        <v>0</v>
      </c>
    </row>
    <row r="105" spans="1:31" x14ac:dyDescent="0.2">
      <c r="B105" s="8">
        <v>1</v>
      </c>
      <c r="C105" s="115" t="s">
        <v>96</v>
      </c>
      <c r="D105" s="216"/>
      <c r="E105" s="67" t="s">
        <v>35</v>
      </c>
      <c r="F105" s="178">
        <v>0</v>
      </c>
      <c r="G105" s="178">
        <v>0</v>
      </c>
      <c r="H105" s="178">
        <v>0</v>
      </c>
      <c r="I105" s="178">
        <v>0</v>
      </c>
      <c r="J105" s="178">
        <v>2110000</v>
      </c>
      <c r="K105" s="178">
        <v>2110000</v>
      </c>
      <c r="L105" s="178">
        <v>2110000</v>
      </c>
      <c r="M105" s="178">
        <v>2110000</v>
      </c>
      <c r="N105" s="178">
        <v>2110000</v>
      </c>
      <c r="O105" s="178">
        <v>2110000</v>
      </c>
      <c r="P105" s="178">
        <v>2110000</v>
      </c>
      <c r="Q105" s="178">
        <v>2110000</v>
      </c>
      <c r="R105" s="178">
        <v>2110000</v>
      </c>
      <c r="S105" s="178">
        <v>2110000</v>
      </c>
      <c r="T105" s="178">
        <v>2110000</v>
      </c>
      <c r="U105" s="178">
        <v>2110000</v>
      </c>
      <c r="V105" s="178">
        <v>2110000</v>
      </c>
      <c r="W105" s="178">
        <v>2110000</v>
      </c>
      <c r="X105" s="178">
        <v>2110000</v>
      </c>
      <c r="Y105" s="178">
        <v>2110000</v>
      </c>
      <c r="Z105" s="178">
        <v>2110000</v>
      </c>
      <c r="AA105" s="178">
        <v>2110000</v>
      </c>
      <c r="AB105" s="178">
        <v>2110000</v>
      </c>
      <c r="AC105" s="178">
        <v>2110000</v>
      </c>
      <c r="AD105" s="178">
        <v>2110000</v>
      </c>
      <c r="AE105" s="178">
        <v>2110000</v>
      </c>
    </row>
    <row r="106" spans="1:31" x14ac:dyDescent="0.2">
      <c r="B106" s="8">
        <v>2</v>
      </c>
      <c r="C106" s="115" t="s">
        <v>97</v>
      </c>
      <c r="D106" s="216"/>
      <c r="E106" s="67" t="s">
        <v>35</v>
      </c>
      <c r="F106" s="178">
        <v>0</v>
      </c>
      <c r="G106" s="178">
        <v>0</v>
      </c>
      <c r="H106" s="178">
        <v>0</v>
      </c>
      <c r="I106" s="178">
        <v>0</v>
      </c>
      <c r="J106" s="178">
        <v>3030000</v>
      </c>
      <c r="K106" s="178">
        <v>3030000</v>
      </c>
      <c r="L106" s="178">
        <v>3030000</v>
      </c>
      <c r="M106" s="178">
        <v>3030000</v>
      </c>
      <c r="N106" s="178">
        <v>3030000</v>
      </c>
      <c r="O106" s="178">
        <v>3030000</v>
      </c>
      <c r="P106" s="178">
        <v>3030000</v>
      </c>
      <c r="Q106" s="178">
        <v>3030000</v>
      </c>
      <c r="R106" s="178">
        <v>3030000</v>
      </c>
      <c r="S106" s="178">
        <v>3030000</v>
      </c>
      <c r="T106" s="178">
        <v>3030000</v>
      </c>
      <c r="U106" s="178">
        <v>3030000</v>
      </c>
      <c r="V106" s="178">
        <v>3030000</v>
      </c>
      <c r="W106" s="178">
        <v>3030000</v>
      </c>
      <c r="X106" s="178">
        <v>3030000</v>
      </c>
      <c r="Y106" s="178">
        <v>3030000</v>
      </c>
      <c r="Z106" s="178">
        <v>3030000</v>
      </c>
      <c r="AA106" s="178">
        <v>3030000</v>
      </c>
      <c r="AB106" s="178">
        <v>3030000</v>
      </c>
      <c r="AC106" s="178">
        <v>3030000</v>
      </c>
      <c r="AD106" s="178">
        <v>3030000</v>
      </c>
      <c r="AE106" s="178">
        <v>3030000</v>
      </c>
    </row>
    <row r="107" spans="1:31" x14ac:dyDescent="0.2">
      <c r="B107" s="8">
        <v>3</v>
      </c>
      <c r="C107" s="115" t="s">
        <v>98</v>
      </c>
      <c r="D107" s="216"/>
      <c r="E107" s="67" t="s">
        <v>35</v>
      </c>
      <c r="F107" s="178">
        <v>0</v>
      </c>
      <c r="G107" s="178">
        <v>0</v>
      </c>
      <c r="H107" s="178">
        <v>0</v>
      </c>
      <c r="I107" s="178">
        <v>0</v>
      </c>
      <c r="J107" s="178">
        <v>3930000</v>
      </c>
      <c r="K107" s="178">
        <v>3930000</v>
      </c>
      <c r="L107" s="178">
        <v>3930000</v>
      </c>
      <c r="M107" s="178">
        <v>3930000</v>
      </c>
      <c r="N107" s="178">
        <v>3930000</v>
      </c>
      <c r="O107" s="178">
        <v>3930000</v>
      </c>
      <c r="P107" s="178">
        <v>3930000</v>
      </c>
      <c r="Q107" s="178">
        <v>3930000</v>
      </c>
      <c r="R107" s="178">
        <v>3930000</v>
      </c>
      <c r="S107" s="178">
        <v>3930000</v>
      </c>
      <c r="T107" s="178">
        <v>3930000</v>
      </c>
      <c r="U107" s="178">
        <v>3930000</v>
      </c>
      <c r="V107" s="178">
        <v>3930000</v>
      </c>
      <c r="W107" s="178">
        <v>3930000</v>
      </c>
      <c r="X107" s="178">
        <v>3930000</v>
      </c>
      <c r="Y107" s="178">
        <v>3930000</v>
      </c>
      <c r="Z107" s="178">
        <v>3930000</v>
      </c>
      <c r="AA107" s="178">
        <v>3930000</v>
      </c>
      <c r="AB107" s="178">
        <v>3930000</v>
      </c>
      <c r="AC107" s="178">
        <v>3930000</v>
      </c>
      <c r="AD107" s="178">
        <v>3930000</v>
      </c>
      <c r="AE107" s="178">
        <v>3930000</v>
      </c>
    </row>
    <row r="108" spans="1:31" x14ac:dyDescent="0.2">
      <c r="B108" s="8">
        <v>4</v>
      </c>
      <c r="C108" s="115" t="s">
        <v>99</v>
      </c>
      <c r="D108" s="216"/>
      <c r="E108" s="67" t="s">
        <v>35</v>
      </c>
      <c r="F108" s="178">
        <v>0</v>
      </c>
      <c r="G108" s="178">
        <v>0</v>
      </c>
      <c r="H108" s="178">
        <v>0</v>
      </c>
      <c r="I108" s="178">
        <v>500000</v>
      </c>
      <c r="J108" s="178">
        <v>500000</v>
      </c>
      <c r="K108" s="178">
        <v>500000</v>
      </c>
      <c r="L108" s="178">
        <v>500000</v>
      </c>
      <c r="M108" s="178">
        <v>500000</v>
      </c>
      <c r="N108" s="178">
        <v>500000</v>
      </c>
      <c r="O108" s="178">
        <v>500000</v>
      </c>
      <c r="P108" s="178">
        <v>500000</v>
      </c>
      <c r="Q108" s="178">
        <v>500000</v>
      </c>
      <c r="R108" s="178">
        <v>500000</v>
      </c>
      <c r="S108" s="178">
        <v>500000</v>
      </c>
      <c r="T108" s="178">
        <v>500000</v>
      </c>
      <c r="U108" s="178">
        <v>500000</v>
      </c>
      <c r="V108" s="178">
        <v>500000</v>
      </c>
      <c r="W108" s="178">
        <v>500000</v>
      </c>
      <c r="X108" s="178">
        <v>500000</v>
      </c>
      <c r="Y108" s="178">
        <v>500000</v>
      </c>
      <c r="Z108" s="178">
        <v>500000</v>
      </c>
      <c r="AA108" s="178">
        <v>500000</v>
      </c>
      <c r="AB108" s="178">
        <v>500000</v>
      </c>
      <c r="AC108" s="178">
        <v>500000</v>
      </c>
      <c r="AD108" s="178">
        <v>500000</v>
      </c>
      <c r="AE108" s="178">
        <v>500000</v>
      </c>
    </row>
    <row r="109" spans="1:31" x14ac:dyDescent="0.2">
      <c r="B109" s="172">
        <v>5</v>
      </c>
      <c r="C109" s="115" t="s">
        <v>100</v>
      </c>
      <c r="D109" s="216"/>
      <c r="E109" s="67" t="s">
        <v>35</v>
      </c>
      <c r="F109" s="178" t="s">
        <v>240</v>
      </c>
      <c r="G109" s="178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</row>
    <row r="110" spans="1:31" x14ac:dyDescent="0.2">
      <c r="B110" s="172">
        <v>6</v>
      </c>
      <c r="C110" s="115" t="s">
        <v>174</v>
      </c>
      <c r="D110" s="216"/>
      <c r="E110" s="67" t="s">
        <v>35</v>
      </c>
      <c r="F110" s="178" t="s">
        <v>240</v>
      </c>
      <c r="G110" s="178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</row>
    <row r="111" spans="1:31" x14ac:dyDescent="0.2">
      <c r="E111" s="65"/>
      <c r="H111" s="96"/>
    </row>
    <row r="112" spans="1:31" ht="15.75" x14ac:dyDescent="0.25">
      <c r="B112" s="57" t="s">
        <v>204</v>
      </c>
      <c r="C112" s="57"/>
      <c r="D112" s="109"/>
      <c r="E112" s="66"/>
      <c r="F112" s="57">
        <v>2021</v>
      </c>
      <c r="G112" s="57">
        <v>2022</v>
      </c>
      <c r="H112" s="57">
        <v>2023</v>
      </c>
      <c r="I112" s="57">
        <v>2024</v>
      </c>
      <c r="J112" s="57">
        <v>2025</v>
      </c>
      <c r="K112" s="57">
        <v>2026</v>
      </c>
      <c r="L112" s="57">
        <v>2027</v>
      </c>
      <c r="M112" s="57">
        <v>2028</v>
      </c>
      <c r="N112" s="57">
        <v>2029</v>
      </c>
      <c r="O112" s="57">
        <v>2030</v>
      </c>
      <c r="P112" s="57">
        <v>2031</v>
      </c>
      <c r="Q112" s="57">
        <v>2032</v>
      </c>
      <c r="R112" s="57">
        <v>2033</v>
      </c>
      <c r="S112" s="57">
        <v>2034</v>
      </c>
      <c r="T112" s="57">
        <v>2035</v>
      </c>
      <c r="U112" s="57">
        <v>2036</v>
      </c>
      <c r="V112" s="57">
        <v>2037</v>
      </c>
      <c r="W112" s="57">
        <v>2038</v>
      </c>
      <c r="X112" s="57">
        <v>2039</v>
      </c>
      <c r="Y112" s="57">
        <v>2040</v>
      </c>
      <c r="Z112" s="57">
        <v>2041</v>
      </c>
      <c r="AA112" s="57">
        <v>2042</v>
      </c>
      <c r="AB112" s="57">
        <v>2043</v>
      </c>
      <c r="AC112" s="57">
        <v>2044</v>
      </c>
      <c r="AD112" s="57">
        <v>2045</v>
      </c>
      <c r="AE112" s="57">
        <v>2046</v>
      </c>
    </row>
    <row r="113" spans="2:31" ht="15.75" x14ac:dyDescent="0.25">
      <c r="B113" s="58" t="s">
        <v>14</v>
      </c>
      <c r="C113" s="58" t="s">
        <v>13</v>
      </c>
      <c r="D113" s="76"/>
      <c r="E113" s="62" t="s">
        <v>7</v>
      </c>
      <c r="F113" s="143" t="s">
        <v>103</v>
      </c>
      <c r="G113" s="143" t="s">
        <v>104</v>
      </c>
      <c r="H113" s="143" t="s">
        <v>105</v>
      </c>
      <c r="I113" s="143" t="s">
        <v>106</v>
      </c>
      <c r="J113" s="143" t="s">
        <v>107</v>
      </c>
      <c r="K113" s="143" t="s">
        <v>108</v>
      </c>
      <c r="L113" s="143" t="s">
        <v>109</v>
      </c>
      <c r="M113" s="143" t="s">
        <v>110</v>
      </c>
      <c r="N113" s="143" t="s">
        <v>111</v>
      </c>
      <c r="O113" s="143" t="s">
        <v>112</v>
      </c>
      <c r="P113" s="143" t="s">
        <v>113</v>
      </c>
      <c r="Q113" s="143" t="s">
        <v>114</v>
      </c>
      <c r="R113" s="143" t="s">
        <v>115</v>
      </c>
      <c r="S113" s="143" t="s">
        <v>116</v>
      </c>
      <c r="T113" s="143" t="s">
        <v>117</v>
      </c>
      <c r="U113" s="143" t="s">
        <v>118</v>
      </c>
      <c r="V113" s="143" t="s">
        <v>119</v>
      </c>
      <c r="W113" s="143" t="s">
        <v>120</v>
      </c>
      <c r="X113" s="143" t="s">
        <v>121</v>
      </c>
      <c r="Y113" s="143" t="s">
        <v>122</v>
      </c>
      <c r="Z113" s="143" t="s">
        <v>123</v>
      </c>
      <c r="AA113" s="143" t="s">
        <v>124</v>
      </c>
      <c r="AB113" s="143" t="s">
        <v>125</v>
      </c>
      <c r="AC113" s="143" t="s">
        <v>126</v>
      </c>
      <c r="AD113" s="143" t="s">
        <v>127</v>
      </c>
      <c r="AE113" s="143" t="s">
        <v>153</v>
      </c>
    </row>
    <row r="114" spans="2:31" x14ac:dyDescent="0.2">
      <c r="B114" s="172">
        <v>0</v>
      </c>
      <c r="C114" s="116" t="s">
        <v>15</v>
      </c>
      <c r="D114" s="216"/>
      <c r="E114" s="67" t="s">
        <v>35</v>
      </c>
      <c r="F114" s="178">
        <v>0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78">
        <v>0</v>
      </c>
      <c r="N114" s="178">
        <v>0</v>
      </c>
      <c r="O114" s="178">
        <v>0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8">
        <v>0</v>
      </c>
      <c r="AC114" s="178">
        <v>0</v>
      </c>
      <c r="AD114" s="178">
        <v>0</v>
      </c>
      <c r="AE114" s="178">
        <v>0</v>
      </c>
    </row>
    <row r="115" spans="2:31" x14ac:dyDescent="0.2">
      <c r="B115" s="172">
        <v>1</v>
      </c>
      <c r="C115" s="115" t="s">
        <v>96</v>
      </c>
      <c r="D115" s="216"/>
      <c r="E115" s="67" t="s">
        <v>35</v>
      </c>
      <c r="F115" s="178">
        <v>0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178">
        <v>0</v>
      </c>
      <c r="S115" s="178">
        <v>0</v>
      </c>
      <c r="T115" s="178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8">
        <v>0</v>
      </c>
      <c r="AC115" s="178">
        <v>0</v>
      </c>
      <c r="AD115" s="178">
        <v>0</v>
      </c>
      <c r="AE115" s="178">
        <v>0</v>
      </c>
    </row>
    <row r="116" spans="2:31" x14ac:dyDescent="0.2">
      <c r="B116" s="172">
        <v>2</v>
      </c>
      <c r="C116" s="115" t="s">
        <v>97</v>
      </c>
      <c r="D116" s="216"/>
      <c r="E116" s="67" t="s">
        <v>35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8">
        <v>0</v>
      </c>
      <c r="AC116" s="178">
        <v>0</v>
      </c>
      <c r="AD116" s="178">
        <v>0</v>
      </c>
      <c r="AE116" s="178">
        <v>0</v>
      </c>
    </row>
    <row r="117" spans="2:31" x14ac:dyDescent="0.2">
      <c r="B117" s="172">
        <v>3</v>
      </c>
      <c r="C117" s="115" t="s">
        <v>98</v>
      </c>
      <c r="D117" s="216"/>
      <c r="E117" s="67" t="s">
        <v>35</v>
      </c>
      <c r="F117" s="178">
        <v>0</v>
      </c>
      <c r="G117" s="178">
        <v>0</v>
      </c>
      <c r="H117" s="178">
        <v>0</v>
      </c>
      <c r="I117" s="178">
        <v>0</v>
      </c>
      <c r="J117" s="178">
        <v>0</v>
      </c>
      <c r="K117" s="178">
        <v>0</v>
      </c>
      <c r="L117" s="178">
        <v>0</v>
      </c>
      <c r="M117" s="178">
        <v>0</v>
      </c>
      <c r="N117" s="178">
        <v>0</v>
      </c>
      <c r="O117" s="178">
        <v>0</v>
      </c>
      <c r="P117" s="178">
        <v>0</v>
      </c>
      <c r="Q117" s="178">
        <v>0</v>
      </c>
      <c r="R117" s="178">
        <v>0</v>
      </c>
      <c r="S117" s="178">
        <v>0</v>
      </c>
      <c r="T117" s="178">
        <v>0</v>
      </c>
      <c r="U117" s="178">
        <v>0</v>
      </c>
      <c r="V117" s="178">
        <v>0</v>
      </c>
      <c r="W117" s="178">
        <v>0</v>
      </c>
      <c r="X117" s="178">
        <v>0</v>
      </c>
      <c r="Y117" s="178">
        <v>0</v>
      </c>
      <c r="Z117" s="178">
        <v>0</v>
      </c>
      <c r="AA117" s="178">
        <v>0</v>
      </c>
      <c r="AB117" s="178">
        <v>0</v>
      </c>
      <c r="AC117" s="178">
        <v>0</v>
      </c>
      <c r="AD117" s="178">
        <v>0</v>
      </c>
      <c r="AE117" s="178">
        <v>0</v>
      </c>
    </row>
    <row r="118" spans="2:31" x14ac:dyDescent="0.2">
      <c r="B118" s="172">
        <v>4</v>
      </c>
      <c r="C118" s="115" t="s">
        <v>99</v>
      </c>
      <c r="D118" s="216"/>
      <c r="E118" s="67" t="s">
        <v>35</v>
      </c>
      <c r="F118" s="178">
        <v>0</v>
      </c>
      <c r="G118" s="178">
        <v>0</v>
      </c>
      <c r="H118" s="178">
        <v>0</v>
      </c>
      <c r="I118" s="178">
        <v>0</v>
      </c>
      <c r="J118" s="178">
        <v>0</v>
      </c>
      <c r="K118" s="178">
        <v>0</v>
      </c>
      <c r="L118" s="178">
        <v>0</v>
      </c>
      <c r="M118" s="178">
        <v>0</v>
      </c>
      <c r="N118" s="178">
        <v>0</v>
      </c>
      <c r="O118" s="178">
        <v>0</v>
      </c>
      <c r="P118" s="178">
        <v>0</v>
      </c>
      <c r="Q118" s="178">
        <v>0</v>
      </c>
      <c r="R118" s="178">
        <v>0</v>
      </c>
      <c r="S118" s="178">
        <v>0</v>
      </c>
      <c r="T118" s="178">
        <v>0</v>
      </c>
      <c r="U118" s="178">
        <v>0</v>
      </c>
      <c r="V118" s="178">
        <v>0</v>
      </c>
      <c r="W118" s="178">
        <v>0</v>
      </c>
      <c r="X118" s="178">
        <v>0</v>
      </c>
      <c r="Y118" s="178">
        <v>0</v>
      </c>
      <c r="Z118" s="178">
        <v>0</v>
      </c>
      <c r="AA118" s="178">
        <v>0</v>
      </c>
      <c r="AB118" s="178">
        <v>0</v>
      </c>
      <c r="AC118" s="178">
        <v>0</v>
      </c>
      <c r="AD118" s="178">
        <v>0</v>
      </c>
      <c r="AE118" s="178">
        <v>0</v>
      </c>
    </row>
    <row r="119" spans="2:31" x14ac:dyDescent="0.2">
      <c r="B119" s="172">
        <v>5</v>
      </c>
      <c r="C119" s="115" t="s">
        <v>100</v>
      </c>
      <c r="D119" s="216"/>
      <c r="E119" s="67" t="s">
        <v>35</v>
      </c>
      <c r="F119" s="178" t="s">
        <v>240</v>
      </c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</row>
    <row r="120" spans="2:31" x14ac:dyDescent="0.2">
      <c r="B120" s="172">
        <v>6</v>
      </c>
      <c r="C120" s="115" t="s">
        <v>174</v>
      </c>
      <c r="D120" s="216"/>
      <c r="E120" s="67" t="s">
        <v>35</v>
      </c>
      <c r="F120" s="178" t="s">
        <v>240</v>
      </c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</row>
    <row r="121" spans="2:31" x14ac:dyDescent="0.2">
      <c r="E121" s="65"/>
      <c r="H121" s="96"/>
    </row>
    <row r="122" spans="2:31" ht="15.75" x14ac:dyDescent="0.25">
      <c r="B122" s="57" t="s">
        <v>190</v>
      </c>
      <c r="C122" s="57"/>
      <c r="D122" s="109"/>
      <c r="E122" s="66"/>
      <c r="F122" s="57">
        <v>2021</v>
      </c>
      <c r="G122" s="57">
        <v>2022</v>
      </c>
      <c r="H122" s="57">
        <v>2023</v>
      </c>
      <c r="I122" s="57">
        <v>2024</v>
      </c>
      <c r="J122" s="57">
        <v>2025</v>
      </c>
      <c r="K122" s="57">
        <v>2026</v>
      </c>
      <c r="L122" s="57">
        <v>2027</v>
      </c>
      <c r="M122" s="57">
        <v>2028</v>
      </c>
      <c r="N122" s="57">
        <v>2029</v>
      </c>
      <c r="O122" s="57">
        <v>2030</v>
      </c>
      <c r="P122" s="57">
        <v>2031</v>
      </c>
      <c r="Q122" s="57">
        <v>2032</v>
      </c>
      <c r="R122" s="57">
        <v>2033</v>
      </c>
      <c r="S122" s="57">
        <v>2034</v>
      </c>
      <c r="T122" s="57">
        <v>2035</v>
      </c>
      <c r="U122" s="57">
        <v>2036</v>
      </c>
      <c r="V122" s="57">
        <v>2037</v>
      </c>
      <c r="W122" s="57">
        <v>2038</v>
      </c>
      <c r="X122" s="57">
        <v>2039</v>
      </c>
      <c r="Y122" s="57">
        <v>2040</v>
      </c>
      <c r="Z122" s="57">
        <v>2041</v>
      </c>
      <c r="AA122" s="57">
        <v>2042</v>
      </c>
      <c r="AB122" s="57">
        <v>2043</v>
      </c>
      <c r="AC122" s="57">
        <v>2044</v>
      </c>
      <c r="AD122" s="57">
        <v>2045</v>
      </c>
      <c r="AE122" s="57">
        <v>2046</v>
      </c>
    </row>
    <row r="123" spans="2:31" ht="15.75" x14ac:dyDescent="0.25">
      <c r="B123" s="58" t="s">
        <v>14</v>
      </c>
      <c r="C123" s="58" t="s">
        <v>13</v>
      </c>
      <c r="D123" s="76"/>
      <c r="E123" s="62" t="s">
        <v>7</v>
      </c>
      <c r="F123" s="143" t="s">
        <v>103</v>
      </c>
      <c r="G123" s="143" t="s">
        <v>104</v>
      </c>
      <c r="H123" s="143" t="s">
        <v>105</v>
      </c>
      <c r="I123" s="143" t="s">
        <v>106</v>
      </c>
      <c r="J123" s="143" t="s">
        <v>107</v>
      </c>
      <c r="K123" s="143" t="s">
        <v>108</v>
      </c>
      <c r="L123" s="143" t="s">
        <v>109</v>
      </c>
      <c r="M123" s="143" t="s">
        <v>110</v>
      </c>
      <c r="N123" s="143" t="s">
        <v>111</v>
      </c>
      <c r="O123" s="143" t="s">
        <v>112</v>
      </c>
      <c r="P123" s="143" t="s">
        <v>113</v>
      </c>
      <c r="Q123" s="143" t="s">
        <v>114</v>
      </c>
      <c r="R123" s="143" t="s">
        <v>115</v>
      </c>
      <c r="S123" s="143" t="s">
        <v>116</v>
      </c>
      <c r="T123" s="143" t="s">
        <v>117</v>
      </c>
      <c r="U123" s="143" t="s">
        <v>118</v>
      </c>
      <c r="V123" s="143" t="s">
        <v>119</v>
      </c>
      <c r="W123" s="143" t="s">
        <v>120</v>
      </c>
      <c r="X123" s="143" t="s">
        <v>121</v>
      </c>
      <c r="Y123" s="143" t="s">
        <v>122</v>
      </c>
      <c r="Z123" s="143" t="s">
        <v>123</v>
      </c>
      <c r="AA123" s="143" t="s">
        <v>124</v>
      </c>
      <c r="AB123" s="143" t="s">
        <v>125</v>
      </c>
      <c r="AC123" s="143" t="s">
        <v>126</v>
      </c>
      <c r="AD123" s="143" t="s">
        <v>127</v>
      </c>
      <c r="AE123" s="143" t="s">
        <v>153</v>
      </c>
    </row>
    <row r="124" spans="2:31" x14ac:dyDescent="0.2">
      <c r="B124" s="172">
        <v>0</v>
      </c>
      <c r="C124" s="116" t="s">
        <v>15</v>
      </c>
      <c r="D124" s="216"/>
      <c r="E124" s="67" t="s">
        <v>35</v>
      </c>
      <c r="F124" s="178"/>
      <c r="G124" s="178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</row>
    <row r="125" spans="2:31" x14ac:dyDescent="0.2">
      <c r="B125" s="172">
        <v>1</v>
      </c>
      <c r="C125" s="115" t="s">
        <v>96</v>
      </c>
      <c r="D125" s="216"/>
      <c r="E125" s="67" t="s">
        <v>35</v>
      </c>
      <c r="F125" s="178">
        <v>0</v>
      </c>
      <c r="G125" s="178">
        <v>0</v>
      </c>
      <c r="H125" s="178">
        <v>0</v>
      </c>
      <c r="I125" s="178">
        <v>0</v>
      </c>
      <c r="J125" s="178">
        <v>0</v>
      </c>
      <c r="K125" s="178">
        <v>0</v>
      </c>
      <c r="L125" s="178">
        <v>0</v>
      </c>
      <c r="M125" s="178">
        <v>0</v>
      </c>
      <c r="N125" s="178">
        <v>0</v>
      </c>
      <c r="O125" s="178">
        <v>0</v>
      </c>
      <c r="P125" s="178">
        <v>0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8">
        <v>0</v>
      </c>
      <c r="AC125" s="178">
        <v>0</v>
      </c>
      <c r="AD125" s="178">
        <v>0</v>
      </c>
      <c r="AE125" s="178">
        <v>0</v>
      </c>
    </row>
    <row r="126" spans="2:31" x14ac:dyDescent="0.2">
      <c r="B126" s="172">
        <v>2</v>
      </c>
      <c r="C126" s="115" t="s">
        <v>97</v>
      </c>
      <c r="D126" s="216"/>
      <c r="E126" s="67" t="s">
        <v>35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8">
        <v>0</v>
      </c>
      <c r="AC126" s="178">
        <v>0</v>
      </c>
      <c r="AD126" s="178">
        <v>0</v>
      </c>
      <c r="AE126" s="178">
        <v>0</v>
      </c>
    </row>
    <row r="127" spans="2:31" x14ac:dyDescent="0.2">
      <c r="B127" s="172">
        <v>3</v>
      </c>
      <c r="C127" s="115" t="s">
        <v>98</v>
      </c>
      <c r="D127" s="216"/>
      <c r="E127" s="67" t="s">
        <v>35</v>
      </c>
      <c r="F127" s="178">
        <v>0</v>
      </c>
      <c r="G127" s="178">
        <v>0</v>
      </c>
      <c r="H127" s="178">
        <v>0</v>
      </c>
      <c r="I127" s="178">
        <v>0</v>
      </c>
      <c r="J127" s="178">
        <v>0</v>
      </c>
      <c r="K127" s="178">
        <v>0</v>
      </c>
      <c r="L127" s="178">
        <v>0</v>
      </c>
      <c r="M127" s="178">
        <v>0</v>
      </c>
      <c r="N127" s="178">
        <v>0</v>
      </c>
      <c r="O127" s="178">
        <v>0</v>
      </c>
      <c r="P127" s="178">
        <v>0</v>
      </c>
      <c r="Q127" s="178">
        <v>0</v>
      </c>
      <c r="R127" s="178">
        <v>0</v>
      </c>
      <c r="S127" s="178">
        <v>0</v>
      </c>
      <c r="T127" s="178">
        <v>0</v>
      </c>
      <c r="U127" s="178">
        <v>0</v>
      </c>
      <c r="V127" s="178">
        <v>0</v>
      </c>
      <c r="W127" s="178">
        <v>0</v>
      </c>
      <c r="X127" s="178">
        <v>0</v>
      </c>
      <c r="Y127" s="178">
        <v>0</v>
      </c>
      <c r="Z127" s="178">
        <v>0</v>
      </c>
      <c r="AA127" s="178">
        <v>0</v>
      </c>
      <c r="AB127" s="178">
        <v>0</v>
      </c>
      <c r="AC127" s="178">
        <v>0</v>
      </c>
      <c r="AD127" s="178">
        <v>0</v>
      </c>
      <c r="AE127" s="178">
        <v>0</v>
      </c>
    </row>
    <row r="128" spans="2:31" x14ac:dyDescent="0.2">
      <c r="B128" s="172">
        <v>4</v>
      </c>
      <c r="C128" s="115" t="s">
        <v>99</v>
      </c>
      <c r="D128" s="216"/>
      <c r="E128" s="67" t="s">
        <v>35</v>
      </c>
      <c r="F128" s="178">
        <v>0</v>
      </c>
      <c r="G128" s="178">
        <v>0</v>
      </c>
      <c r="H128" s="178">
        <v>0</v>
      </c>
      <c r="I128" s="178">
        <v>0</v>
      </c>
      <c r="J128" s="178">
        <v>0</v>
      </c>
      <c r="K128" s="178">
        <v>0</v>
      </c>
      <c r="L128" s="178">
        <v>0</v>
      </c>
      <c r="M128" s="178">
        <v>0</v>
      </c>
      <c r="N128" s="178">
        <v>0</v>
      </c>
      <c r="O128" s="178">
        <v>0</v>
      </c>
      <c r="P128" s="178">
        <v>0</v>
      </c>
      <c r="Q128" s="178">
        <v>0</v>
      </c>
      <c r="R128" s="178">
        <v>0</v>
      </c>
      <c r="S128" s="178">
        <v>0</v>
      </c>
      <c r="T128" s="178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8">
        <v>0</v>
      </c>
      <c r="AC128" s="178">
        <v>0</v>
      </c>
      <c r="AD128" s="178">
        <v>0</v>
      </c>
      <c r="AE128" s="178">
        <v>0</v>
      </c>
    </row>
    <row r="129" spans="2:31" x14ac:dyDescent="0.2">
      <c r="B129" s="172">
        <v>5</v>
      </c>
      <c r="C129" s="115" t="s">
        <v>100</v>
      </c>
      <c r="D129" s="216"/>
      <c r="E129" s="67" t="s">
        <v>35</v>
      </c>
      <c r="F129" s="178" t="s">
        <v>240</v>
      </c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</row>
    <row r="130" spans="2:31" x14ac:dyDescent="0.2">
      <c r="B130" s="172">
        <v>6</v>
      </c>
      <c r="C130" s="115" t="s">
        <v>174</v>
      </c>
      <c r="D130" s="216"/>
      <c r="E130" s="67" t="s">
        <v>35</v>
      </c>
      <c r="F130" s="178" t="s">
        <v>240</v>
      </c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</row>
    <row r="131" spans="2:31" x14ac:dyDescent="0.2">
      <c r="E131" s="65"/>
      <c r="H131" s="96"/>
    </row>
    <row r="132" spans="2:31" ht="15.75" x14ac:dyDescent="0.25">
      <c r="B132" s="57" t="s">
        <v>191</v>
      </c>
      <c r="C132" s="57"/>
      <c r="D132" s="109"/>
      <c r="E132" s="66"/>
      <c r="F132" s="57">
        <v>2021</v>
      </c>
      <c r="G132" s="57">
        <v>2022</v>
      </c>
      <c r="H132" s="57">
        <v>2023</v>
      </c>
      <c r="I132" s="57">
        <v>2024</v>
      </c>
      <c r="J132" s="57">
        <v>2025</v>
      </c>
      <c r="K132" s="57">
        <v>2026</v>
      </c>
      <c r="L132" s="57">
        <v>2027</v>
      </c>
      <c r="M132" s="57">
        <v>2028</v>
      </c>
      <c r="N132" s="57">
        <v>2029</v>
      </c>
      <c r="O132" s="57">
        <v>2030</v>
      </c>
      <c r="P132" s="57">
        <v>2031</v>
      </c>
      <c r="Q132" s="57">
        <v>2032</v>
      </c>
      <c r="R132" s="57">
        <v>2033</v>
      </c>
      <c r="S132" s="57">
        <v>2034</v>
      </c>
      <c r="T132" s="57">
        <v>2035</v>
      </c>
      <c r="U132" s="57">
        <v>2036</v>
      </c>
      <c r="V132" s="57">
        <v>2037</v>
      </c>
      <c r="W132" s="57">
        <v>2038</v>
      </c>
      <c r="X132" s="57">
        <v>2039</v>
      </c>
      <c r="Y132" s="57">
        <v>2040</v>
      </c>
      <c r="Z132" s="57">
        <v>2041</v>
      </c>
      <c r="AA132" s="57">
        <v>2042</v>
      </c>
      <c r="AB132" s="57">
        <v>2043</v>
      </c>
      <c r="AC132" s="57">
        <v>2044</v>
      </c>
      <c r="AD132" s="57">
        <v>2045</v>
      </c>
      <c r="AE132" s="57">
        <v>2046</v>
      </c>
    </row>
    <row r="133" spans="2:31" ht="15.75" x14ac:dyDescent="0.25">
      <c r="B133" s="58" t="s">
        <v>14</v>
      </c>
      <c r="C133" s="58" t="s">
        <v>13</v>
      </c>
      <c r="D133" s="76"/>
      <c r="E133" s="62" t="s">
        <v>7</v>
      </c>
      <c r="F133" s="143" t="s">
        <v>103</v>
      </c>
      <c r="G133" s="143" t="s">
        <v>104</v>
      </c>
      <c r="H133" s="143" t="s">
        <v>105</v>
      </c>
      <c r="I133" s="143" t="s">
        <v>106</v>
      </c>
      <c r="J133" s="143" t="s">
        <v>107</v>
      </c>
      <c r="K133" s="143" t="s">
        <v>108</v>
      </c>
      <c r="L133" s="143" t="s">
        <v>109</v>
      </c>
      <c r="M133" s="143" t="s">
        <v>110</v>
      </c>
      <c r="N133" s="143" t="s">
        <v>111</v>
      </c>
      <c r="O133" s="143" t="s">
        <v>112</v>
      </c>
      <c r="P133" s="143" t="s">
        <v>113</v>
      </c>
      <c r="Q133" s="143" t="s">
        <v>114</v>
      </c>
      <c r="R133" s="143" t="s">
        <v>115</v>
      </c>
      <c r="S133" s="143" t="s">
        <v>116</v>
      </c>
      <c r="T133" s="143" t="s">
        <v>117</v>
      </c>
      <c r="U133" s="143" t="s">
        <v>118</v>
      </c>
      <c r="V133" s="143" t="s">
        <v>119</v>
      </c>
      <c r="W133" s="143" t="s">
        <v>120</v>
      </c>
      <c r="X133" s="143" t="s">
        <v>121</v>
      </c>
      <c r="Y133" s="143" t="s">
        <v>122</v>
      </c>
      <c r="Z133" s="143" t="s">
        <v>123</v>
      </c>
      <c r="AA133" s="143" t="s">
        <v>124</v>
      </c>
      <c r="AB133" s="143" t="s">
        <v>125</v>
      </c>
      <c r="AC133" s="143" t="s">
        <v>126</v>
      </c>
      <c r="AD133" s="143" t="s">
        <v>127</v>
      </c>
      <c r="AE133" s="143" t="s">
        <v>153</v>
      </c>
    </row>
    <row r="134" spans="2:31" x14ac:dyDescent="0.2">
      <c r="B134" s="172">
        <v>0</v>
      </c>
      <c r="C134" s="116" t="s">
        <v>15</v>
      </c>
      <c r="D134" s="216"/>
      <c r="E134" s="67" t="s">
        <v>35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8">
        <v>0</v>
      </c>
      <c r="AC134" s="178">
        <v>0</v>
      </c>
      <c r="AD134" s="178">
        <v>0</v>
      </c>
      <c r="AE134" s="178">
        <v>0</v>
      </c>
    </row>
    <row r="135" spans="2:31" x14ac:dyDescent="0.2">
      <c r="B135" s="172">
        <v>1</v>
      </c>
      <c r="C135" s="115" t="s">
        <v>96</v>
      </c>
      <c r="D135" s="216"/>
      <c r="E135" s="67" t="s">
        <v>35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8">
        <v>0</v>
      </c>
      <c r="AC135" s="178">
        <v>0</v>
      </c>
      <c r="AD135" s="178">
        <v>0</v>
      </c>
      <c r="AE135" s="178">
        <v>0</v>
      </c>
    </row>
    <row r="136" spans="2:31" x14ac:dyDescent="0.2">
      <c r="B136" s="172">
        <v>2</v>
      </c>
      <c r="C136" s="115" t="s">
        <v>97</v>
      </c>
      <c r="D136" s="216"/>
      <c r="E136" s="67" t="s">
        <v>35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8">
        <v>0</v>
      </c>
      <c r="AC136" s="178">
        <v>0</v>
      </c>
      <c r="AD136" s="178">
        <v>0</v>
      </c>
      <c r="AE136" s="178">
        <v>0</v>
      </c>
    </row>
    <row r="137" spans="2:31" x14ac:dyDescent="0.2">
      <c r="B137" s="172">
        <v>3</v>
      </c>
      <c r="C137" s="115" t="s">
        <v>98</v>
      </c>
      <c r="D137" s="216"/>
      <c r="E137" s="67" t="s">
        <v>35</v>
      </c>
      <c r="F137" s="178">
        <v>0</v>
      </c>
      <c r="G137" s="178">
        <v>0</v>
      </c>
      <c r="H137" s="178">
        <v>0</v>
      </c>
      <c r="I137" s="178">
        <v>0</v>
      </c>
      <c r="J137" s="178">
        <v>0</v>
      </c>
      <c r="K137" s="178">
        <v>0</v>
      </c>
      <c r="L137" s="178">
        <v>0</v>
      </c>
      <c r="M137" s="178">
        <v>0</v>
      </c>
      <c r="N137" s="178">
        <v>0</v>
      </c>
      <c r="O137" s="178">
        <v>0</v>
      </c>
      <c r="P137" s="178">
        <v>0</v>
      </c>
      <c r="Q137" s="178">
        <v>0</v>
      </c>
      <c r="R137" s="178">
        <v>0</v>
      </c>
      <c r="S137" s="178">
        <v>0</v>
      </c>
      <c r="T137" s="178">
        <v>0</v>
      </c>
      <c r="U137" s="178">
        <v>0</v>
      </c>
      <c r="V137" s="178">
        <v>0</v>
      </c>
      <c r="W137" s="178">
        <v>0</v>
      </c>
      <c r="X137" s="178">
        <v>0</v>
      </c>
      <c r="Y137" s="178">
        <v>0</v>
      </c>
      <c r="Z137" s="178">
        <v>0</v>
      </c>
      <c r="AA137" s="178">
        <v>0</v>
      </c>
      <c r="AB137" s="178">
        <v>0</v>
      </c>
      <c r="AC137" s="178">
        <v>0</v>
      </c>
      <c r="AD137" s="178">
        <v>0</v>
      </c>
      <c r="AE137" s="178">
        <v>0</v>
      </c>
    </row>
    <row r="138" spans="2:31" x14ac:dyDescent="0.2">
      <c r="B138" s="172">
        <v>4</v>
      </c>
      <c r="C138" s="115" t="s">
        <v>99</v>
      </c>
      <c r="D138" s="216"/>
      <c r="E138" s="67" t="s">
        <v>35</v>
      </c>
      <c r="F138" s="178">
        <v>0</v>
      </c>
      <c r="G138" s="178">
        <v>0</v>
      </c>
      <c r="H138" s="178">
        <v>0</v>
      </c>
      <c r="I138" s="178">
        <v>0</v>
      </c>
      <c r="J138" s="178">
        <v>0</v>
      </c>
      <c r="K138" s="178">
        <v>0</v>
      </c>
      <c r="L138" s="178">
        <v>0</v>
      </c>
      <c r="M138" s="178">
        <v>0</v>
      </c>
      <c r="N138" s="178">
        <v>0</v>
      </c>
      <c r="O138" s="178">
        <v>0</v>
      </c>
      <c r="P138" s="178">
        <v>0</v>
      </c>
      <c r="Q138" s="178">
        <v>0</v>
      </c>
      <c r="R138" s="178">
        <v>0</v>
      </c>
      <c r="S138" s="178">
        <v>0</v>
      </c>
      <c r="T138" s="178">
        <v>0</v>
      </c>
      <c r="U138" s="178">
        <v>0</v>
      </c>
      <c r="V138" s="178">
        <v>0</v>
      </c>
      <c r="W138" s="178">
        <v>0</v>
      </c>
      <c r="X138" s="178">
        <v>0</v>
      </c>
      <c r="Y138" s="178">
        <v>0</v>
      </c>
      <c r="Z138" s="178">
        <v>0</v>
      </c>
      <c r="AA138" s="178">
        <v>0</v>
      </c>
      <c r="AB138" s="178">
        <v>0</v>
      </c>
      <c r="AC138" s="178">
        <v>0</v>
      </c>
      <c r="AD138" s="178">
        <v>0</v>
      </c>
      <c r="AE138" s="178">
        <v>0</v>
      </c>
    </row>
    <row r="139" spans="2:31" x14ac:dyDescent="0.2">
      <c r="B139" s="172">
        <v>5</v>
      </c>
      <c r="C139" s="115" t="s">
        <v>100</v>
      </c>
      <c r="D139" s="216"/>
      <c r="E139" s="67" t="s">
        <v>35</v>
      </c>
      <c r="F139" s="178" t="s">
        <v>240</v>
      </c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</row>
    <row r="140" spans="2:31" x14ac:dyDescent="0.2">
      <c r="B140" s="172">
        <v>6</v>
      </c>
      <c r="C140" s="115" t="s">
        <v>174</v>
      </c>
      <c r="D140" s="216"/>
      <c r="E140" s="67" t="s">
        <v>35</v>
      </c>
      <c r="F140" s="178" t="s">
        <v>240</v>
      </c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</row>
    <row r="141" spans="2:31" x14ac:dyDescent="0.2">
      <c r="E141" s="65"/>
      <c r="H141" s="96"/>
    </row>
    <row r="142" spans="2:31" x14ac:dyDescent="0.2">
      <c r="E142" s="65"/>
      <c r="H142" s="96"/>
    </row>
    <row r="143" spans="2:31" ht="21" x14ac:dyDescent="0.35">
      <c r="B143" s="56" t="s">
        <v>25</v>
      </c>
      <c r="C143" s="56"/>
      <c r="D143" s="68"/>
      <c r="E143" s="71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</row>
    <row r="144" spans="2:31" x14ac:dyDescent="0.2">
      <c r="B144" s="99"/>
      <c r="E144" s="65"/>
    </row>
    <row r="145" spans="1:31" ht="15.75" x14ac:dyDescent="0.25">
      <c r="B145" s="57" t="s">
        <v>66</v>
      </c>
      <c r="C145" s="57"/>
      <c r="D145" s="109"/>
      <c r="E145" s="108" t="s">
        <v>31</v>
      </c>
      <c r="F145" s="110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</row>
    <row r="146" spans="1:31" s="48" customFormat="1" ht="15.75" x14ac:dyDescent="0.25">
      <c r="A146" s="82"/>
      <c r="B146" s="111"/>
      <c r="C146" s="111"/>
      <c r="D146" s="113"/>
      <c r="E146" s="112"/>
      <c r="F146" s="112"/>
      <c r="G146" s="220"/>
      <c r="H146" s="184"/>
      <c r="I146" s="184"/>
      <c r="J146" s="184"/>
      <c r="K146" s="188"/>
      <c r="L146" s="184"/>
      <c r="M146" s="188"/>
      <c r="N146" s="188"/>
      <c r="O146" s="188"/>
      <c r="P146" s="184"/>
      <c r="Q146" s="188"/>
      <c r="R146" s="188"/>
      <c r="S146" s="188"/>
      <c r="T146" s="188"/>
      <c r="U146" s="184"/>
      <c r="V146" s="184"/>
      <c r="W146" s="184"/>
      <c r="X146" s="188"/>
      <c r="Y146" s="184"/>
      <c r="Z146" s="188"/>
      <c r="AA146" s="188"/>
      <c r="AB146" s="184"/>
      <c r="AC146" s="184"/>
      <c r="AD146" s="188"/>
      <c r="AE146" s="82"/>
    </row>
    <row r="147" spans="1:31" s="48" customFormat="1" ht="15.75" x14ac:dyDescent="0.25">
      <c r="A147" s="82"/>
      <c r="B147" s="58" t="s">
        <v>14</v>
      </c>
      <c r="C147" s="58" t="s">
        <v>13</v>
      </c>
      <c r="D147" s="76" t="s">
        <v>93</v>
      </c>
      <c r="E147" s="62" t="s">
        <v>7</v>
      </c>
      <c r="F147" s="143" t="s">
        <v>103</v>
      </c>
      <c r="G147" s="143" t="s">
        <v>104</v>
      </c>
      <c r="H147" s="143" t="s">
        <v>105</v>
      </c>
      <c r="I147" s="143" t="s">
        <v>106</v>
      </c>
      <c r="J147" s="143" t="s">
        <v>107</v>
      </c>
      <c r="K147" s="143" t="s">
        <v>108</v>
      </c>
      <c r="L147" s="143" t="s">
        <v>109</v>
      </c>
      <c r="M147" s="143" t="s">
        <v>110</v>
      </c>
      <c r="N147" s="143" t="s">
        <v>111</v>
      </c>
      <c r="O147" s="143" t="s">
        <v>112</v>
      </c>
      <c r="P147" s="143" t="s">
        <v>113</v>
      </c>
      <c r="Q147" s="143" t="s">
        <v>114</v>
      </c>
      <c r="R147" s="143" t="s">
        <v>115</v>
      </c>
      <c r="S147" s="143" t="s">
        <v>116</v>
      </c>
      <c r="T147" s="143" t="s">
        <v>117</v>
      </c>
      <c r="U147" s="143" t="s">
        <v>118</v>
      </c>
      <c r="V147" s="143" t="s">
        <v>119</v>
      </c>
      <c r="W147" s="143" t="s">
        <v>120</v>
      </c>
      <c r="X147" s="143" t="s">
        <v>121</v>
      </c>
      <c r="Y147" s="143" t="s">
        <v>122</v>
      </c>
      <c r="Z147" s="143" t="s">
        <v>123</v>
      </c>
      <c r="AA147" s="143" t="s">
        <v>124</v>
      </c>
      <c r="AB147" s="143" t="s">
        <v>125</v>
      </c>
      <c r="AC147" s="143" t="s">
        <v>126</v>
      </c>
      <c r="AD147" s="143" t="s">
        <v>127</v>
      </c>
      <c r="AE147" s="143" t="s">
        <v>153</v>
      </c>
    </row>
    <row r="148" spans="1:31" s="48" customFormat="1" x14ac:dyDescent="0.2">
      <c r="B148" s="172">
        <v>0</v>
      </c>
      <c r="C148" s="116" t="s">
        <v>15</v>
      </c>
      <c r="D148" s="236"/>
      <c r="E148" s="67" t="s">
        <v>35</v>
      </c>
      <c r="F148" s="131"/>
      <c r="G148" s="131">
        <v>68717588.973627836</v>
      </c>
      <c r="H148" s="131">
        <v>45646146.931375213</v>
      </c>
      <c r="I148" s="131">
        <v>156937382.0879792</v>
      </c>
      <c r="J148" s="131">
        <v>298042217.83924907</v>
      </c>
      <c r="K148" s="131">
        <v>178.78025831011317</v>
      </c>
      <c r="L148" s="131">
        <v>51769096.154586628</v>
      </c>
      <c r="M148" s="131">
        <v>201.02907194793471</v>
      </c>
      <c r="N148" s="131">
        <v>212.31183465232874</v>
      </c>
      <c r="O148" s="131">
        <v>224.83861874713384</v>
      </c>
      <c r="P148" s="131">
        <v>2194971.5069321003</v>
      </c>
      <c r="Q148" s="131">
        <v>252.8505855711808</v>
      </c>
      <c r="R148" s="131">
        <v>267.20988819341761</v>
      </c>
      <c r="S148" s="131">
        <v>282.97140153640686</v>
      </c>
      <c r="T148" s="131">
        <v>299.56086366223775</v>
      </c>
      <c r="U148" s="131">
        <v>8066119.3391166264</v>
      </c>
      <c r="V148" s="131">
        <v>1586951.7354862462</v>
      </c>
      <c r="W148" s="131">
        <v>32191270.017057329</v>
      </c>
      <c r="X148" s="131">
        <v>376.81167414559371</v>
      </c>
      <c r="Y148" s="131">
        <v>825958.07883149874</v>
      </c>
      <c r="Z148" s="131">
        <v>422.4215357119262</v>
      </c>
      <c r="AA148" s="131">
        <v>447.59191133022682</v>
      </c>
      <c r="AB148" s="131">
        <v>10400949.546183133</v>
      </c>
      <c r="AC148" s="131">
        <v>5843184.6663631052</v>
      </c>
      <c r="AD148" s="131">
        <v>531.45098442985886</v>
      </c>
      <c r="AE148" s="131">
        <v>562.56562038780635</v>
      </c>
    </row>
    <row r="149" spans="1:31" s="48" customFormat="1" x14ac:dyDescent="0.2">
      <c r="B149" s="172">
        <v>1</v>
      </c>
      <c r="C149" s="115" t="s">
        <v>96</v>
      </c>
      <c r="D149" s="236"/>
      <c r="E149" s="67" t="s">
        <v>35</v>
      </c>
      <c r="F149" s="131"/>
      <c r="G149" s="131">
        <v>68717301.869966656</v>
      </c>
      <c r="H149" s="131">
        <v>47356057.135664999</v>
      </c>
      <c r="I149" s="131">
        <v>157978869.56191975</v>
      </c>
      <c r="J149" s="131">
        <v>299188460.70496154</v>
      </c>
      <c r="K149" s="131">
        <v>428.76753904886272</v>
      </c>
      <c r="L149" s="131">
        <v>51992622.84350796</v>
      </c>
      <c r="M149" s="131">
        <v>482.00782976239958</v>
      </c>
      <c r="N149" s="131">
        <v>508.99414130604958</v>
      </c>
      <c r="O149" s="131">
        <v>538.98790480466914</v>
      </c>
      <c r="P149" s="131">
        <v>840984.41853764164</v>
      </c>
      <c r="Q149" s="131">
        <v>606.01916369973708</v>
      </c>
      <c r="R149" s="131">
        <v>640.40019452329409</v>
      </c>
      <c r="S149" s="131">
        <v>678.11785544036206</v>
      </c>
      <c r="T149" s="131">
        <v>717.80852118361008</v>
      </c>
      <c r="U149" s="131">
        <v>8133695.8205492394</v>
      </c>
      <c r="V149" s="131">
        <v>1567052.6053199104</v>
      </c>
      <c r="W149" s="131">
        <v>31341354.328345537</v>
      </c>
      <c r="X149" s="131">
        <v>902.66079755037913</v>
      </c>
      <c r="Y149" s="131">
        <v>629184.48393836094</v>
      </c>
      <c r="Z149" s="131">
        <v>1011.7410982091775</v>
      </c>
      <c r="AA149" s="131">
        <v>1071.9655114158074</v>
      </c>
      <c r="AB149" s="131">
        <v>10369188.374506133</v>
      </c>
      <c r="AC149" s="131">
        <v>5120749.6133025531</v>
      </c>
      <c r="AD149" s="131">
        <v>1272.5275088081924</v>
      </c>
      <c r="AE149" s="131">
        <v>1346.9456409075192</v>
      </c>
    </row>
    <row r="150" spans="1:31" s="48" customFormat="1" x14ac:dyDescent="0.2">
      <c r="B150" s="172">
        <v>2</v>
      </c>
      <c r="C150" s="115" t="s">
        <v>97</v>
      </c>
      <c r="D150" s="236"/>
      <c r="E150" s="67" t="s">
        <v>35</v>
      </c>
      <c r="F150" s="131"/>
      <c r="G150" s="131">
        <v>68717301.869966656</v>
      </c>
      <c r="H150" s="131">
        <v>47356057.135664999</v>
      </c>
      <c r="I150" s="131">
        <v>157978869.56191975</v>
      </c>
      <c r="J150" s="131">
        <v>299188460.70496154</v>
      </c>
      <c r="K150" s="131">
        <v>428.76753904886272</v>
      </c>
      <c r="L150" s="131">
        <v>51992622.84350796</v>
      </c>
      <c r="M150" s="131">
        <v>482.00782976239958</v>
      </c>
      <c r="N150" s="131">
        <v>508.99414130604958</v>
      </c>
      <c r="O150" s="131">
        <v>538.98790480466914</v>
      </c>
      <c r="P150" s="131">
        <v>840984.41853764164</v>
      </c>
      <c r="Q150" s="131">
        <v>606.01916369973708</v>
      </c>
      <c r="R150" s="131">
        <v>640.40019452329409</v>
      </c>
      <c r="S150" s="131">
        <v>678.11785544036206</v>
      </c>
      <c r="T150" s="131">
        <v>717.80852118361008</v>
      </c>
      <c r="U150" s="131">
        <v>8133695.8205492394</v>
      </c>
      <c r="V150" s="131">
        <v>1567052.6053199104</v>
      </c>
      <c r="W150" s="131">
        <v>31341354.328345537</v>
      </c>
      <c r="X150" s="131">
        <v>902.66079755037913</v>
      </c>
      <c r="Y150" s="131">
        <v>629184.48393836094</v>
      </c>
      <c r="Z150" s="131">
        <v>1011.7410982091775</v>
      </c>
      <c r="AA150" s="131">
        <v>1071.9655114158074</v>
      </c>
      <c r="AB150" s="131">
        <v>10369188.374506133</v>
      </c>
      <c r="AC150" s="131">
        <v>5120749.6133025531</v>
      </c>
      <c r="AD150" s="131">
        <v>1272.5275088081924</v>
      </c>
      <c r="AE150" s="131">
        <v>1346.9456409075192</v>
      </c>
    </row>
    <row r="151" spans="1:31" s="48" customFormat="1" x14ac:dyDescent="0.2">
      <c r="B151" s="172">
        <v>3</v>
      </c>
      <c r="C151" s="115" t="s">
        <v>98</v>
      </c>
      <c r="D151" s="236"/>
      <c r="E151" s="67" t="s">
        <v>35</v>
      </c>
      <c r="F151" s="131"/>
      <c r="G151" s="131">
        <v>68717125.753828526</v>
      </c>
      <c r="H151" s="131">
        <v>47366463.458783165</v>
      </c>
      <c r="I151" s="131">
        <v>157984938.46353772</v>
      </c>
      <c r="J151" s="131">
        <v>299195632.39585048</v>
      </c>
      <c r="K151" s="131">
        <v>589.46911799472446</v>
      </c>
      <c r="L151" s="131">
        <v>51993935.025837049</v>
      </c>
      <c r="M151" s="131">
        <v>662.58421250139975</v>
      </c>
      <c r="N151" s="131">
        <v>699.63839060311443</v>
      </c>
      <c r="O151" s="131">
        <v>740.83922919607778</v>
      </c>
      <c r="P151" s="131">
        <v>738051.05991425202</v>
      </c>
      <c r="Q151" s="131">
        <v>832.88711030359218</v>
      </c>
      <c r="R151" s="131">
        <v>880.11436893731502</v>
      </c>
      <c r="S151" s="131">
        <v>931.90311318358818</v>
      </c>
      <c r="T151" s="131">
        <v>986.39954637228288</v>
      </c>
      <c r="U151" s="131">
        <v>8113543.8032946112</v>
      </c>
      <c r="V151" s="131">
        <v>1553092.4331156565</v>
      </c>
      <c r="W151" s="131">
        <v>31489018.864110142</v>
      </c>
      <c r="X151" s="131">
        <v>1240.2301249272366</v>
      </c>
      <c r="Y151" s="131">
        <v>660558.57449869812</v>
      </c>
      <c r="Z151" s="131">
        <v>1389.9762151881828</v>
      </c>
      <c r="AA151" s="131">
        <v>1472.6651444826809</v>
      </c>
      <c r="AB151" s="131">
        <v>10372445.329371011</v>
      </c>
      <c r="AC151" s="131">
        <v>5099619.5394253507</v>
      </c>
      <c r="AD151" s="131">
        <v>1747.9566485980142</v>
      </c>
      <c r="AE151" s="131">
        <v>1850.1249368574561</v>
      </c>
    </row>
    <row r="152" spans="1:31" s="48" customFormat="1" x14ac:dyDescent="0.2">
      <c r="B152" s="172">
        <v>4</v>
      </c>
      <c r="C152" s="115" t="s">
        <v>99</v>
      </c>
      <c r="D152" s="236"/>
      <c r="E152" s="67" t="s">
        <v>35</v>
      </c>
      <c r="F152" s="131"/>
      <c r="G152" s="131">
        <v>68717616.611512691</v>
      </c>
      <c r="H152" s="131">
        <v>46064494.619806208</v>
      </c>
      <c r="I152" s="131">
        <v>156806717.49970216</v>
      </c>
      <c r="J152" s="131">
        <v>298267515.80522716</v>
      </c>
      <c r="K152" s="131">
        <v>154.72687719748021</v>
      </c>
      <c r="L152" s="131">
        <v>51823815.379959844</v>
      </c>
      <c r="M152" s="131">
        <v>173.964708594493</v>
      </c>
      <c r="N152" s="131">
        <v>183.71942442802074</v>
      </c>
      <c r="O152" s="131">
        <v>194.55252567082877</v>
      </c>
      <c r="P152" s="131">
        <v>1950656.033020291</v>
      </c>
      <c r="Q152" s="131">
        <v>218.77353854593221</v>
      </c>
      <c r="R152" s="131">
        <v>231.19389897683982</v>
      </c>
      <c r="S152" s="131">
        <v>244.82287386485461</v>
      </c>
      <c r="T152" s="131">
        <v>259.16553656859389</v>
      </c>
      <c r="U152" s="131">
        <v>8134639.333352726</v>
      </c>
      <c r="V152" s="131">
        <v>1604856.9795494815</v>
      </c>
      <c r="W152" s="131">
        <v>32204255.327875718</v>
      </c>
      <c r="X152" s="131">
        <v>325.96069810553143</v>
      </c>
      <c r="Y152" s="131">
        <v>807903.40949495614</v>
      </c>
      <c r="Z152" s="131">
        <v>365.38711479925973</v>
      </c>
      <c r="AA152" s="131">
        <v>387.15148581293056</v>
      </c>
      <c r="AB152" s="131">
        <v>10397286.497247862</v>
      </c>
      <c r="AC152" s="131">
        <v>5618438.6306316573</v>
      </c>
      <c r="AD152" s="131">
        <v>459.64559363108157</v>
      </c>
      <c r="AE152" s="131">
        <v>486.54358982326914</v>
      </c>
    </row>
    <row r="153" spans="1:31" s="48" customFormat="1" x14ac:dyDescent="0.2">
      <c r="B153" s="172">
        <v>5</v>
      </c>
      <c r="C153" s="115" t="s">
        <v>100</v>
      </c>
      <c r="D153" s="236"/>
      <c r="E153" s="67" t="s">
        <v>35</v>
      </c>
      <c r="F153" s="178" t="s">
        <v>240</v>
      </c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</row>
    <row r="154" spans="1:31" s="48" customFormat="1" x14ac:dyDescent="0.2">
      <c r="B154" s="172">
        <v>6</v>
      </c>
      <c r="C154" s="115" t="s">
        <v>174</v>
      </c>
      <c r="D154" s="236"/>
      <c r="E154" s="67" t="s">
        <v>35</v>
      </c>
      <c r="F154" s="178" t="s">
        <v>240</v>
      </c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</row>
    <row r="155" spans="1:31" s="48" customFormat="1" ht="15.75" x14ac:dyDescent="0.25">
      <c r="A155" s="82"/>
      <c r="B155" s="111"/>
      <c r="C155" s="111"/>
      <c r="D155" s="113"/>
      <c r="E155" s="112"/>
      <c r="F155" s="112"/>
      <c r="G155" s="220"/>
      <c r="H155" s="188"/>
      <c r="I155" s="184"/>
      <c r="J155" s="184"/>
      <c r="K155" s="188"/>
      <c r="L155" s="188"/>
      <c r="M155" s="188"/>
      <c r="N155" s="188"/>
      <c r="O155" s="188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51"/>
    </row>
    <row r="156" spans="1:31" s="48" customFormat="1" ht="15.75" x14ac:dyDescent="0.25">
      <c r="A156" s="82"/>
      <c r="B156" s="58" t="s">
        <v>14</v>
      </c>
      <c r="C156" s="58" t="s">
        <v>13</v>
      </c>
      <c r="D156" s="76" t="s">
        <v>151</v>
      </c>
      <c r="E156" s="62" t="s">
        <v>7</v>
      </c>
      <c r="F156" s="143" t="s">
        <v>103</v>
      </c>
      <c r="G156" s="143" t="s">
        <v>104</v>
      </c>
      <c r="H156" s="143" t="s">
        <v>105</v>
      </c>
      <c r="I156" s="143" t="s">
        <v>106</v>
      </c>
      <c r="J156" s="143" t="s">
        <v>107</v>
      </c>
      <c r="K156" s="143" t="s">
        <v>108</v>
      </c>
      <c r="L156" s="143" t="s">
        <v>109</v>
      </c>
      <c r="M156" s="143" t="s">
        <v>110</v>
      </c>
      <c r="N156" s="143" t="s">
        <v>111</v>
      </c>
      <c r="O156" s="143" t="s">
        <v>112</v>
      </c>
      <c r="P156" s="143" t="s">
        <v>113</v>
      </c>
      <c r="Q156" s="143" t="s">
        <v>114</v>
      </c>
      <c r="R156" s="143" t="s">
        <v>115</v>
      </c>
      <c r="S156" s="143" t="s">
        <v>116</v>
      </c>
      <c r="T156" s="143" t="s">
        <v>117</v>
      </c>
      <c r="U156" s="143" t="s">
        <v>118</v>
      </c>
      <c r="V156" s="143" t="s">
        <v>119</v>
      </c>
      <c r="W156" s="143" t="s">
        <v>120</v>
      </c>
      <c r="X156" s="143" t="s">
        <v>121</v>
      </c>
      <c r="Y156" s="143" t="s">
        <v>122</v>
      </c>
      <c r="Z156" s="143" t="s">
        <v>123</v>
      </c>
      <c r="AA156" s="143" t="s">
        <v>124</v>
      </c>
      <c r="AB156" s="143" t="s">
        <v>125</v>
      </c>
      <c r="AC156" s="143" t="s">
        <v>126</v>
      </c>
      <c r="AD156" s="143" t="s">
        <v>127</v>
      </c>
      <c r="AE156" s="143" t="s">
        <v>153</v>
      </c>
    </row>
    <row r="157" spans="1:31" s="48" customFormat="1" x14ac:dyDescent="0.2">
      <c r="B157" s="172">
        <v>0</v>
      </c>
      <c r="C157" s="116" t="s">
        <v>15</v>
      </c>
      <c r="D157" s="236"/>
      <c r="E157" s="67" t="s">
        <v>35</v>
      </c>
      <c r="F157" s="131"/>
      <c r="G157" s="131">
        <v>903611.31043897197</v>
      </c>
      <c r="H157" s="131">
        <v>621.81268887169847</v>
      </c>
      <c r="I157" s="131">
        <v>33521508.845468912</v>
      </c>
      <c r="J157" s="131">
        <v>118760705.36853074</v>
      </c>
      <c r="K157" s="131">
        <v>738.31740550474376</v>
      </c>
      <c r="L157" s="131">
        <v>780.93442900285993</v>
      </c>
      <c r="M157" s="131">
        <v>829.84361040891088</v>
      </c>
      <c r="N157" s="131">
        <v>876.26063673474482</v>
      </c>
      <c r="O157" s="131">
        <v>928.51033265269803</v>
      </c>
      <c r="P157" s="131">
        <v>983.82316522407837</v>
      </c>
      <c r="Q157" s="131">
        <v>1045.0746781584126</v>
      </c>
      <c r="R157" s="131">
        <v>1102.4316959125772</v>
      </c>
      <c r="S157" s="131">
        <v>1168.9505102050637</v>
      </c>
      <c r="T157" s="131">
        <v>1237.5712889272081</v>
      </c>
      <c r="U157" s="131">
        <v>1309.9274914686916</v>
      </c>
      <c r="V157" s="131">
        <v>1384.4793292224256</v>
      </c>
      <c r="W157" s="131">
        <v>1465.562200930071</v>
      </c>
      <c r="X157" s="131">
        <v>1550.6894149613893</v>
      </c>
      <c r="Y157" s="131">
        <v>1647.8481997928561</v>
      </c>
      <c r="Z157" s="131">
        <v>1742.754039523142</v>
      </c>
      <c r="AA157" s="131">
        <v>1838.1372525242343</v>
      </c>
      <c r="AB157" s="131">
        <v>1949.8741804536198</v>
      </c>
      <c r="AC157" s="131">
        <v>2070.9911325617022</v>
      </c>
      <c r="AD157" s="131">
        <v>2176.6011373021711</v>
      </c>
      <c r="AE157" s="131">
        <v>2303.1951664351595</v>
      </c>
    </row>
    <row r="158" spans="1:31" s="48" customFormat="1" x14ac:dyDescent="0.2">
      <c r="B158" s="172">
        <v>1</v>
      </c>
      <c r="C158" s="115" t="s">
        <v>96</v>
      </c>
      <c r="D158" s="236"/>
      <c r="E158" s="67" t="s">
        <v>35</v>
      </c>
      <c r="F158" s="131"/>
      <c r="G158" s="131">
        <v>1112314.6733185155</v>
      </c>
      <c r="H158" s="131">
        <v>722.1006681130317</v>
      </c>
      <c r="I158" s="131">
        <v>33895033.034012794</v>
      </c>
      <c r="J158" s="131">
        <v>132035933.52517086</v>
      </c>
      <c r="K158" s="131">
        <v>857.22283802449988</v>
      </c>
      <c r="L158" s="131">
        <v>906.79198528830614</v>
      </c>
      <c r="M158" s="131">
        <v>963.51853354422485</v>
      </c>
      <c r="N158" s="131">
        <v>1017.2797834819766</v>
      </c>
      <c r="O158" s="131">
        <v>1077.840746031864</v>
      </c>
      <c r="P158" s="131">
        <v>1141.8013087631223</v>
      </c>
      <c r="Q158" s="131">
        <v>1213.052721516523</v>
      </c>
      <c r="R158" s="131">
        <v>1279.5960709256092</v>
      </c>
      <c r="S158" s="131">
        <v>1356.7679964700189</v>
      </c>
      <c r="T158" s="131">
        <v>1436.4677054486772</v>
      </c>
      <c r="U158" s="131">
        <v>1521.1950755277578</v>
      </c>
      <c r="V158" s="131">
        <v>1607.7738691618508</v>
      </c>
      <c r="W158" s="131">
        <v>1701.8086808466282</v>
      </c>
      <c r="X158" s="131">
        <v>1800.6463199006507</v>
      </c>
      <c r="Y158" s="131">
        <v>1913.5477075734561</v>
      </c>
      <c r="Z158" s="131">
        <v>2023.7762866921557</v>
      </c>
      <c r="AA158" s="131">
        <v>2134.4858962996313</v>
      </c>
      <c r="AB158" s="131">
        <v>2264.1882186024332</v>
      </c>
      <c r="AC158" s="131">
        <v>2404.7948930499533</v>
      </c>
      <c r="AD158" s="131">
        <v>2527.6265102159487</v>
      </c>
      <c r="AE158" s="131">
        <v>2674.6471692007522</v>
      </c>
    </row>
    <row r="159" spans="1:31" s="48" customFormat="1" x14ac:dyDescent="0.2">
      <c r="B159" s="172">
        <v>2</v>
      </c>
      <c r="C159" s="115" t="s">
        <v>97</v>
      </c>
      <c r="D159" s="236"/>
      <c r="E159" s="67" t="s">
        <v>35</v>
      </c>
      <c r="F159" s="131"/>
      <c r="G159" s="131">
        <v>1112314.6733185155</v>
      </c>
      <c r="H159" s="131">
        <v>722.1006681130317</v>
      </c>
      <c r="I159" s="131">
        <v>33895033.034012794</v>
      </c>
      <c r="J159" s="131">
        <v>132035933.52517086</v>
      </c>
      <c r="K159" s="131">
        <v>857.22283802449988</v>
      </c>
      <c r="L159" s="131">
        <v>906.79198528830614</v>
      </c>
      <c r="M159" s="131">
        <v>963.51853354422485</v>
      </c>
      <c r="N159" s="131">
        <v>1017.2797834819766</v>
      </c>
      <c r="O159" s="131">
        <v>1077.840746031864</v>
      </c>
      <c r="P159" s="131">
        <v>1141.8013087631223</v>
      </c>
      <c r="Q159" s="131">
        <v>1213.052721516523</v>
      </c>
      <c r="R159" s="131">
        <v>1279.5960709256092</v>
      </c>
      <c r="S159" s="131">
        <v>1356.7679964700189</v>
      </c>
      <c r="T159" s="131">
        <v>1436.4677054486772</v>
      </c>
      <c r="U159" s="131">
        <v>1521.1950755277578</v>
      </c>
      <c r="V159" s="131">
        <v>1607.7738691618508</v>
      </c>
      <c r="W159" s="131">
        <v>1701.8086808466282</v>
      </c>
      <c r="X159" s="131">
        <v>1800.6463199006507</v>
      </c>
      <c r="Y159" s="131">
        <v>1913.5477075734561</v>
      </c>
      <c r="Z159" s="131">
        <v>2023.7762866921557</v>
      </c>
      <c r="AA159" s="131">
        <v>2134.4858962996313</v>
      </c>
      <c r="AB159" s="131">
        <v>2264.1882186024332</v>
      </c>
      <c r="AC159" s="131">
        <v>2404.7948930499533</v>
      </c>
      <c r="AD159" s="131">
        <v>2527.6265102159487</v>
      </c>
      <c r="AE159" s="131">
        <v>2674.6471692007522</v>
      </c>
    </row>
    <row r="160" spans="1:31" s="48" customFormat="1" x14ac:dyDescent="0.2">
      <c r="B160" s="172">
        <v>3</v>
      </c>
      <c r="C160" s="115" t="s">
        <v>98</v>
      </c>
      <c r="D160" s="236"/>
      <c r="E160" s="67" t="s">
        <v>35</v>
      </c>
      <c r="F160" s="131"/>
      <c r="G160" s="131">
        <v>1115276.5017326369</v>
      </c>
      <c r="H160" s="131">
        <v>854.78813337573717</v>
      </c>
      <c r="I160" s="131">
        <v>33900214.759374119</v>
      </c>
      <c r="J160" s="131">
        <v>132223175.62750499</v>
      </c>
      <c r="K160" s="131">
        <v>1014.7805200859393</v>
      </c>
      <c r="L160" s="131">
        <v>1073.2720308719558</v>
      </c>
      <c r="M160" s="131">
        <v>1140.5632839126097</v>
      </c>
      <c r="N160" s="131">
        <v>1204.5016916871596</v>
      </c>
      <c r="O160" s="131">
        <v>1276.5012621488818</v>
      </c>
      <c r="P160" s="131">
        <v>1352.7347587664522</v>
      </c>
      <c r="Q160" s="131">
        <v>1436.8566175396159</v>
      </c>
      <c r="R160" s="131">
        <v>1515.708135279845</v>
      </c>
      <c r="S160" s="131">
        <v>1607.2723310022457</v>
      </c>
      <c r="T160" s="131">
        <v>1701.7544114128245</v>
      </c>
      <c r="U160" s="131">
        <v>1800.478463513927</v>
      </c>
      <c r="V160" s="131">
        <v>1902.8582374154166</v>
      </c>
      <c r="W160" s="131">
        <v>2015.0527517840467</v>
      </c>
      <c r="X160" s="131">
        <v>2132.2237971067157</v>
      </c>
      <c r="Y160" s="131">
        <v>2265.6680495247133</v>
      </c>
      <c r="Z160" s="131">
        <v>2395.9767105803539</v>
      </c>
      <c r="AA160" s="131">
        <v>2527.4109460701961</v>
      </c>
      <c r="AB160" s="131">
        <v>2681.4297555185958</v>
      </c>
      <c r="AC160" s="131">
        <v>2848.5428694722259</v>
      </c>
      <c r="AD160" s="131">
        <v>2992.9636550720534</v>
      </c>
      <c r="AE160" s="131">
        <v>3166.7097149255051</v>
      </c>
    </row>
    <row r="161" spans="1:31" s="48" customFormat="1" x14ac:dyDescent="0.2">
      <c r="B161" s="172">
        <v>4</v>
      </c>
      <c r="C161" s="115" t="s">
        <v>99</v>
      </c>
      <c r="D161" s="236"/>
      <c r="E161" s="67" t="s">
        <v>35</v>
      </c>
      <c r="F161" s="131"/>
      <c r="G161" s="131">
        <v>955890.37789096055</v>
      </c>
      <c r="H161" s="131">
        <v>642.81568988427841</v>
      </c>
      <c r="I161" s="131">
        <v>33537696.662330594</v>
      </c>
      <c r="J161" s="131">
        <v>121783312.10270658</v>
      </c>
      <c r="K161" s="131">
        <v>763.24676962837725</v>
      </c>
      <c r="L161" s="131">
        <v>807.32589476563135</v>
      </c>
      <c r="M161" s="131">
        <v>857.88336680436521</v>
      </c>
      <c r="N161" s="131">
        <v>905.84699734438288</v>
      </c>
      <c r="O161" s="131">
        <v>959.84205081902826</v>
      </c>
      <c r="P161" s="131">
        <v>1017.0134456457063</v>
      </c>
      <c r="Q161" s="131">
        <v>1080.3451356447561</v>
      </c>
      <c r="R161" s="131">
        <v>1139.6253233568405</v>
      </c>
      <c r="S161" s="131">
        <v>1208.4325609626069</v>
      </c>
      <c r="T161" s="131">
        <v>1279.430758707653</v>
      </c>
      <c r="U161" s="131">
        <v>1354.2746763505488</v>
      </c>
      <c r="V161" s="131">
        <v>1431.3588421322099</v>
      </c>
      <c r="W161" s="131">
        <v>1515.1462856023784</v>
      </c>
      <c r="X161" s="131">
        <v>1603.1699229266037</v>
      </c>
      <c r="Y161" s="131">
        <v>1703.6339380668412</v>
      </c>
      <c r="Z161" s="131">
        <v>1801.767312366813</v>
      </c>
      <c r="AA161" s="131">
        <v>1900.4018155635401</v>
      </c>
      <c r="AB161" s="131">
        <v>2015.9569614672334</v>
      </c>
      <c r="AC161" s="131">
        <v>2141.2371373983619</v>
      </c>
      <c r="AD161" s="131">
        <v>2250.4145356525928</v>
      </c>
      <c r="AE161" s="131">
        <v>2381.3004579158778</v>
      </c>
    </row>
    <row r="162" spans="1:31" s="48" customFormat="1" x14ac:dyDescent="0.2">
      <c r="B162" s="172">
        <v>5</v>
      </c>
      <c r="C162" s="115" t="s">
        <v>100</v>
      </c>
      <c r="D162" s="236"/>
      <c r="E162" s="67" t="s">
        <v>35</v>
      </c>
      <c r="F162" s="178" t="s">
        <v>240</v>
      </c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</row>
    <row r="163" spans="1:31" s="48" customFormat="1" x14ac:dyDescent="0.2">
      <c r="B163" s="172">
        <v>6</v>
      </c>
      <c r="C163" s="115" t="s">
        <v>174</v>
      </c>
      <c r="D163" s="236"/>
      <c r="E163" s="67" t="s">
        <v>35</v>
      </c>
      <c r="F163" s="178" t="s">
        <v>240</v>
      </c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</row>
    <row r="164" spans="1:31" s="48" customFormat="1" ht="15.75" x14ac:dyDescent="0.25">
      <c r="A164" s="82"/>
      <c r="B164" s="111"/>
      <c r="C164" s="111"/>
      <c r="D164" s="113"/>
      <c r="E164" s="112"/>
      <c r="F164" s="112"/>
      <c r="G164" s="220"/>
      <c r="H164" s="188"/>
      <c r="I164" s="184"/>
      <c r="J164" s="184"/>
      <c r="K164" s="188"/>
      <c r="L164" s="184"/>
      <c r="M164" s="188"/>
      <c r="N164" s="188"/>
      <c r="O164" s="188"/>
      <c r="P164" s="188"/>
      <c r="Q164" s="188"/>
      <c r="R164" s="188"/>
      <c r="S164" s="188"/>
      <c r="T164" s="188"/>
      <c r="U164" s="184"/>
      <c r="V164" s="184"/>
      <c r="W164" s="184"/>
      <c r="X164" s="188"/>
      <c r="Y164" s="184"/>
      <c r="Z164" s="184"/>
      <c r="AA164" s="184"/>
      <c r="AB164" s="184"/>
      <c r="AC164" s="184"/>
      <c r="AD164" s="184"/>
      <c r="AE164" s="151"/>
    </row>
    <row r="165" spans="1:31" s="48" customFormat="1" ht="15.75" x14ac:dyDescent="0.25">
      <c r="A165" s="82"/>
      <c r="B165" s="58" t="s">
        <v>14</v>
      </c>
      <c r="C165" s="58" t="s">
        <v>13</v>
      </c>
      <c r="D165" s="76" t="s">
        <v>152</v>
      </c>
      <c r="E165" s="62" t="s">
        <v>7</v>
      </c>
      <c r="F165" s="143" t="s">
        <v>103</v>
      </c>
      <c r="G165" s="143" t="s">
        <v>104</v>
      </c>
      <c r="H165" s="143" t="s">
        <v>105</v>
      </c>
      <c r="I165" s="143" t="s">
        <v>106</v>
      </c>
      <c r="J165" s="143" t="s">
        <v>107</v>
      </c>
      <c r="K165" s="143" t="s">
        <v>108</v>
      </c>
      <c r="L165" s="143" t="s">
        <v>109</v>
      </c>
      <c r="M165" s="143" t="s">
        <v>110</v>
      </c>
      <c r="N165" s="143" t="s">
        <v>111</v>
      </c>
      <c r="O165" s="143" t="s">
        <v>112</v>
      </c>
      <c r="P165" s="143" t="s">
        <v>113</v>
      </c>
      <c r="Q165" s="143" t="s">
        <v>114</v>
      </c>
      <c r="R165" s="143" t="s">
        <v>115</v>
      </c>
      <c r="S165" s="143" t="s">
        <v>116</v>
      </c>
      <c r="T165" s="143" t="s">
        <v>117</v>
      </c>
      <c r="U165" s="143" t="s">
        <v>118</v>
      </c>
      <c r="V165" s="143" t="s">
        <v>119</v>
      </c>
      <c r="W165" s="143" t="s">
        <v>120</v>
      </c>
      <c r="X165" s="143" t="s">
        <v>121</v>
      </c>
      <c r="Y165" s="143" t="s">
        <v>122</v>
      </c>
      <c r="Z165" s="143" t="s">
        <v>123</v>
      </c>
      <c r="AA165" s="143" t="s">
        <v>124</v>
      </c>
      <c r="AB165" s="143" t="s">
        <v>125</v>
      </c>
      <c r="AC165" s="143" t="s">
        <v>126</v>
      </c>
      <c r="AD165" s="143" t="s">
        <v>127</v>
      </c>
      <c r="AE165" s="143" t="s">
        <v>153</v>
      </c>
    </row>
    <row r="166" spans="1:31" s="48" customFormat="1" x14ac:dyDescent="0.2">
      <c r="B166" s="172">
        <v>0</v>
      </c>
      <c r="C166" s="116" t="s">
        <v>15</v>
      </c>
      <c r="D166" s="236"/>
      <c r="E166" s="67" t="s">
        <v>35</v>
      </c>
      <c r="F166" s="131"/>
      <c r="G166" s="131">
        <v>51385210.733916759</v>
      </c>
      <c r="H166" s="131">
        <v>333.25210901926511</v>
      </c>
      <c r="I166" s="131">
        <v>281079506.90312374</v>
      </c>
      <c r="J166" s="131">
        <v>485311691.1271444</v>
      </c>
      <c r="K166" s="131">
        <v>395.74447164072427</v>
      </c>
      <c r="L166" s="131">
        <v>19644544.985515181</v>
      </c>
      <c r="M166" s="131">
        <v>445.00677436482039</v>
      </c>
      <c r="N166" s="131">
        <v>469.92447585764432</v>
      </c>
      <c r="O166" s="131">
        <v>497.63246596131228</v>
      </c>
      <c r="P166" s="131">
        <v>526.9907750100889</v>
      </c>
      <c r="Q166" s="131">
        <v>559.53426604691992</v>
      </c>
      <c r="R166" s="131">
        <v>590.97487366103542</v>
      </c>
      <c r="S166" s="131">
        <v>625.82316250670465</v>
      </c>
      <c r="T166" s="131">
        <v>662.69725064541728</v>
      </c>
      <c r="U166" s="131">
        <v>17559151.515552621</v>
      </c>
      <c r="V166" s="131">
        <v>5673188.1600282723</v>
      </c>
      <c r="W166" s="131">
        <v>24685496.806985997</v>
      </c>
      <c r="X166" s="131">
        <v>837.32363346022225</v>
      </c>
      <c r="Y166" s="131">
        <v>1675734.3386530727</v>
      </c>
      <c r="Z166" s="131">
        <v>15989646.078898471</v>
      </c>
      <c r="AA166" s="131">
        <v>15889790.28224026</v>
      </c>
      <c r="AB166" s="131">
        <v>3141246.8852186841</v>
      </c>
      <c r="AC166" s="131">
        <v>31010809.504666414</v>
      </c>
      <c r="AD166" s="131">
        <v>76554947.801370323</v>
      </c>
      <c r="AE166" s="131">
        <v>1546401.0330347908</v>
      </c>
    </row>
    <row r="167" spans="1:31" s="48" customFormat="1" x14ac:dyDescent="0.2">
      <c r="B167" s="172">
        <v>1</v>
      </c>
      <c r="C167" s="115" t="s">
        <v>96</v>
      </c>
      <c r="D167" s="236"/>
      <c r="E167" s="67" t="s">
        <v>35</v>
      </c>
      <c r="F167" s="131"/>
      <c r="G167" s="131">
        <v>51385262.538606346</v>
      </c>
      <c r="H167" s="131">
        <v>313.70592501430184</v>
      </c>
      <c r="I167" s="131">
        <v>290445793.50626284</v>
      </c>
      <c r="J167" s="131">
        <v>504710254.44134086</v>
      </c>
      <c r="K167" s="131">
        <v>372.4886139942048</v>
      </c>
      <c r="L167" s="131">
        <v>20873341.632212229</v>
      </c>
      <c r="M167" s="131">
        <v>418.77916204972126</v>
      </c>
      <c r="N167" s="131">
        <v>442.20870760491886</v>
      </c>
      <c r="O167" s="131">
        <v>468.19502094425377</v>
      </c>
      <c r="P167" s="131">
        <v>495.75965836951281</v>
      </c>
      <c r="Q167" s="131">
        <v>526.31304324293035</v>
      </c>
      <c r="R167" s="131">
        <v>555.87412087554162</v>
      </c>
      <c r="S167" s="131">
        <v>588.60955396931411</v>
      </c>
      <c r="T167" s="131">
        <v>623.24146944524978</v>
      </c>
      <c r="U167" s="131">
        <v>14629362.830148369</v>
      </c>
      <c r="V167" s="131">
        <v>5673482.6453258004</v>
      </c>
      <c r="W167" s="131">
        <v>25132807.220719501</v>
      </c>
      <c r="X167" s="131">
        <v>784.12005370905331</v>
      </c>
      <c r="Y167" s="131">
        <v>905.43466308190682</v>
      </c>
      <c r="Z167" s="131">
        <v>13962525.48260688</v>
      </c>
      <c r="AA167" s="131">
        <v>18703850.848288439</v>
      </c>
      <c r="AB167" s="131">
        <v>1706628.8638977623</v>
      </c>
      <c r="AC167" s="131">
        <v>30865718.868160844</v>
      </c>
      <c r="AD167" s="131">
        <v>71362451.685194135</v>
      </c>
      <c r="AE167" s="131">
        <v>1706443.1637689492</v>
      </c>
    </row>
    <row r="168" spans="1:31" s="48" customFormat="1" x14ac:dyDescent="0.2">
      <c r="B168" s="172">
        <v>2</v>
      </c>
      <c r="C168" s="115" t="s">
        <v>97</v>
      </c>
      <c r="D168" s="236"/>
      <c r="E168" s="67" t="s">
        <v>35</v>
      </c>
      <c r="F168" s="131"/>
      <c r="G168" s="131">
        <v>51385262.538606346</v>
      </c>
      <c r="H168" s="131">
        <v>313.70592501430184</v>
      </c>
      <c r="I168" s="131">
        <v>290445793.50626284</v>
      </c>
      <c r="J168" s="131">
        <v>504710254.44134086</v>
      </c>
      <c r="K168" s="131">
        <v>372.4886139942048</v>
      </c>
      <c r="L168" s="131">
        <v>20873341.632212229</v>
      </c>
      <c r="M168" s="131">
        <v>418.77916204972126</v>
      </c>
      <c r="N168" s="131">
        <v>442.20870760491886</v>
      </c>
      <c r="O168" s="131">
        <v>468.19502094425377</v>
      </c>
      <c r="P168" s="131">
        <v>495.75965836951281</v>
      </c>
      <c r="Q168" s="131">
        <v>526.31304324293035</v>
      </c>
      <c r="R168" s="131">
        <v>555.87412087554162</v>
      </c>
      <c r="S168" s="131">
        <v>588.60955396931411</v>
      </c>
      <c r="T168" s="131">
        <v>623.24146944524978</v>
      </c>
      <c r="U168" s="131">
        <v>14629362.830148369</v>
      </c>
      <c r="V168" s="131">
        <v>5673482.6453258004</v>
      </c>
      <c r="W168" s="131">
        <v>25132807.220719501</v>
      </c>
      <c r="X168" s="131">
        <v>784.12005370905331</v>
      </c>
      <c r="Y168" s="131">
        <v>905.43466308190682</v>
      </c>
      <c r="Z168" s="131">
        <v>13962525.48260688</v>
      </c>
      <c r="AA168" s="131">
        <v>18703850.848288439</v>
      </c>
      <c r="AB168" s="131">
        <v>1706628.8638977623</v>
      </c>
      <c r="AC168" s="131">
        <v>30865718.868160844</v>
      </c>
      <c r="AD168" s="131">
        <v>71362451.685194135</v>
      </c>
      <c r="AE168" s="131">
        <v>1706443.1637689492</v>
      </c>
    </row>
    <row r="169" spans="1:31" s="48" customFormat="1" x14ac:dyDescent="0.2">
      <c r="B169" s="172">
        <v>3</v>
      </c>
      <c r="C169" s="115" t="s">
        <v>98</v>
      </c>
      <c r="D169" s="236"/>
      <c r="E169" s="67" t="s">
        <v>35</v>
      </c>
      <c r="F169" s="131"/>
      <c r="G169" s="131">
        <v>51385503.040431641</v>
      </c>
      <c r="H169" s="131">
        <v>123.26510957950967</v>
      </c>
      <c r="I169" s="131">
        <v>290446141.83968043</v>
      </c>
      <c r="J169" s="131">
        <v>504712957.27230805</v>
      </c>
      <c r="K169" s="131">
        <v>146.37821177590862</v>
      </c>
      <c r="L169" s="131">
        <v>20873560.90322037</v>
      </c>
      <c r="M169" s="131">
        <v>164.60381548125906</v>
      </c>
      <c r="N169" s="131">
        <v>173.82410366713688</v>
      </c>
      <c r="O169" s="131">
        <v>184.06882617727749</v>
      </c>
      <c r="P169" s="131">
        <v>194.9295294343643</v>
      </c>
      <c r="Q169" s="131">
        <v>206.96640405089542</v>
      </c>
      <c r="R169" s="131">
        <v>218.59747184427189</v>
      </c>
      <c r="S169" s="131">
        <v>231.48781927175551</v>
      </c>
      <c r="T169" s="131">
        <v>245.12669057876013</v>
      </c>
      <c r="U169" s="131">
        <v>14537921.185259605</v>
      </c>
      <c r="V169" s="131">
        <v>5673617.7772774948</v>
      </c>
      <c r="W169" s="131">
        <v>25348347.779598109</v>
      </c>
      <c r="X169" s="131">
        <v>308.47272304509073</v>
      </c>
      <c r="Y169" s="131">
        <v>352.72097638834396</v>
      </c>
      <c r="Z169" s="131">
        <v>13900088.55283316</v>
      </c>
      <c r="AA169" s="131">
        <v>18893432.01159329</v>
      </c>
      <c r="AB169" s="131">
        <v>1774582.894520466</v>
      </c>
      <c r="AC169" s="131">
        <v>30798785.223558091</v>
      </c>
      <c r="AD169" s="131">
        <v>72068132.533585757</v>
      </c>
      <c r="AE169" s="131">
        <v>1701501.7038181422</v>
      </c>
    </row>
    <row r="170" spans="1:31" s="48" customFormat="1" x14ac:dyDescent="0.2">
      <c r="B170" s="172">
        <v>4</v>
      </c>
      <c r="C170" s="115" t="s">
        <v>99</v>
      </c>
      <c r="D170" s="236"/>
      <c r="E170" s="67" t="s">
        <v>35</v>
      </c>
      <c r="F170" s="131"/>
      <c r="G170" s="131">
        <v>51385483.966415703</v>
      </c>
      <c r="H170" s="131">
        <v>137.77971611995807</v>
      </c>
      <c r="I170" s="131">
        <v>285710819.27335829</v>
      </c>
      <c r="J170" s="131">
        <v>496021106.38972563</v>
      </c>
      <c r="K170" s="131">
        <v>163.61685917419493</v>
      </c>
      <c r="L170" s="131">
        <v>20323229.419592772</v>
      </c>
      <c r="M170" s="131">
        <v>183.98399818033516</v>
      </c>
      <c r="N170" s="131">
        <v>194.28618915299069</v>
      </c>
      <c r="O170" s="131">
        <v>205.74138569105131</v>
      </c>
      <c r="P170" s="131">
        <v>217.87895983981173</v>
      </c>
      <c r="Q170" s="131">
        <v>231.33280569722626</v>
      </c>
      <c r="R170" s="131">
        <v>244.33168164462424</v>
      </c>
      <c r="S170" s="131">
        <v>258.73851449867868</v>
      </c>
      <c r="T170" s="131">
        <v>273.98262728984679</v>
      </c>
      <c r="U170" s="131">
        <v>17558289.521599751</v>
      </c>
      <c r="V170" s="131">
        <v>5673525.0083856974</v>
      </c>
      <c r="W170" s="131">
        <v>24673492.276468642</v>
      </c>
      <c r="X170" s="131">
        <v>344.79058591720269</v>
      </c>
      <c r="Y170" s="131">
        <v>1830844.8580513056</v>
      </c>
      <c r="Z170" s="131">
        <v>15900366.026970044</v>
      </c>
      <c r="AA170" s="131">
        <v>16057827.284295026</v>
      </c>
      <c r="AB170" s="131">
        <v>2948390.7722450667</v>
      </c>
      <c r="AC170" s="131">
        <v>31075071.072037391</v>
      </c>
      <c r="AD170" s="131">
        <v>76524969.356902868</v>
      </c>
      <c r="AE170" s="131">
        <v>1588502.410910707</v>
      </c>
    </row>
    <row r="171" spans="1:31" s="48" customFormat="1" x14ac:dyDescent="0.2">
      <c r="B171" s="172">
        <v>5</v>
      </c>
      <c r="C171" s="115" t="s">
        <v>100</v>
      </c>
      <c r="D171" s="236"/>
      <c r="E171" s="67" t="s">
        <v>35</v>
      </c>
      <c r="F171" s="178" t="s">
        <v>240</v>
      </c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</row>
    <row r="172" spans="1:31" s="48" customFormat="1" x14ac:dyDescent="0.2">
      <c r="B172" s="172">
        <v>6</v>
      </c>
      <c r="C172" s="115" t="s">
        <v>174</v>
      </c>
      <c r="D172" s="236"/>
      <c r="E172" s="67" t="s">
        <v>35</v>
      </c>
      <c r="F172" s="178" t="s">
        <v>240</v>
      </c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</row>
    <row r="173" spans="1:31" x14ac:dyDescent="0.2">
      <c r="E173" s="65"/>
    </row>
    <row r="174" spans="1:31" ht="15.75" x14ac:dyDescent="0.25">
      <c r="B174" s="58" t="s">
        <v>14</v>
      </c>
      <c r="C174" s="58" t="s">
        <v>13</v>
      </c>
      <c r="D174" s="76" t="s">
        <v>202</v>
      </c>
      <c r="E174" s="62" t="s">
        <v>7</v>
      </c>
      <c r="F174" s="143" t="s">
        <v>103</v>
      </c>
      <c r="G174" s="143" t="s">
        <v>104</v>
      </c>
      <c r="H174" s="143" t="s">
        <v>105</v>
      </c>
      <c r="I174" s="143" t="s">
        <v>106</v>
      </c>
      <c r="J174" s="143" t="s">
        <v>107</v>
      </c>
      <c r="K174" s="143" t="s">
        <v>108</v>
      </c>
      <c r="L174" s="143" t="s">
        <v>109</v>
      </c>
      <c r="M174" s="143" t="s">
        <v>110</v>
      </c>
      <c r="N174" s="143" t="s">
        <v>111</v>
      </c>
      <c r="O174" s="143" t="s">
        <v>112</v>
      </c>
      <c r="P174" s="143" t="s">
        <v>113</v>
      </c>
      <c r="Q174" s="143" t="s">
        <v>114</v>
      </c>
      <c r="R174" s="143" t="s">
        <v>115</v>
      </c>
      <c r="S174" s="143" t="s">
        <v>116</v>
      </c>
      <c r="T174" s="143" t="s">
        <v>117</v>
      </c>
      <c r="U174" s="143" t="s">
        <v>118</v>
      </c>
      <c r="V174" s="143" t="s">
        <v>119</v>
      </c>
      <c r="W174" s="143" t="s">
        <v>120</v>
      </c>
      <c r="X174" s="143" t="s">
        <v>121</v>
      </c>
      <c r="Y174" s="143" t="s">
        <v>122</v>
      </c>
      <c r="Z174" s="143" t="s">
        <v>123</v>
      </c>
      <c r="AA174" s="143" t="s">
        <v>124</v>
      </c>
      <c r="AB174" s="143" t="s">
        <v>125</v>
      </c>
      <c r="AC174" s="143" t="s">
        <v>126</v>
      </c>
      <c r="AD174" s="143" t="s">
        <v>127</v>
      </c>
      <c r="AE174" s="143" t="s">
        <v>153</v>
      </c>
    </row>
    <row r="175" spans="1:31" x14ac:dyDescent="0.2">
      <c r="A175" s="48"/>
      <c r="B175" s="172">
        <v>0</v>
      </c>
      <c r="C175" s="116" t="s">
        <v>15</v>
      </c>
      <c r="D175" s="236"/>
      <c r="E175" s="67" t="s">
        <v>35</v>
      </c>
      <c r="F175" s="131"/>
      <c r="G175" s="131">
        <v>61760917.337968178</v>
      </c>
      <c r="H175" s="131">
        <v>288.36024732386323</v>
      </c>
      <c r="I175" s="131">
        <v>102840474.36904524</v>
      </c>
      <c r="J175" s="131">
        <v>256192929.15515256</v>
      </c>
      <c r="K175" s="131">
        <v>342.40728372556271</v>
      </c>
      <c r="L175" s="131">
        <v>362.62350836905335</v>
      </c>
      <c r="M175" s="131">
        <v>385.12891992120535</v>
      </c>
      <c r="N175" s="131">
        <v>406.76729572371892</v>
      </c>
      <c r="O175" s="131">
        <v>430.80856265222246</v>
      </c>
      <c r="P175" s="131">
        <v>367067.69932590082</v>
      </c>
      <c r="Q175" s="131">
        <v>484.50063750009451</v>
      </c>
      <c r="R175" s="131">
        <v>511.73505121061777</v>
      </c>
      <c r="S175" s="131">
        <v>542.0861954613672</v>
      </c>
      <c r="T175" s="131">
        <v>580.5412535389944</v>
      </c>
      <c r="U175" s="131">
        <v>609.43840757749012</v>
      </c>
      <c r="V175" s="131">
        <v>643.53472326794258</v>
      </c>
      <c r="W175" s="131">
        <v>28470076.198279642</v>
      </c>
      <c r="X175" s="131">
        <v>721.81764011291909</v>
      </c>
      <c r="Y175" s="131">
        <v>766.63477786816816</v>
      </c>
      <c r="Z175" s="131">
        <v>809.54062693461105</v>
      </c>
      <c r="AA175" s="131">
        <v>857.62781990162057</v>
      </c>
      <c r="AB175" s="131">
        <v>9477222.0861827899</v>
      </c>
      <c r="AC175" s="131">
        <v>967.28001026127163</v>
      </c>
      <c r="AD175" s="131">
        <v>1017.8725858388989</v>
      </c>
      <c r="AE175" s="131">
        <v>1078.1128181184515</v>
      </c>
    </row>
    <row r="176" spans="1:31" x14ac:dyDescent="0.2">
      <c r="A176" s="48"/>
      <c r="B176" s="172">
        <v>1</v>
      </c>
      <c r="C176" s="115" t="s">
        <v>96</v>
      </c>
      <c r="D176" s="236"/>
      <c r="E176" s="67" t="s">
        <v>35</v>
      </c>
      <c r="F176" s="131"/>
      <c r="G176" s="131">
        <v>61760927.637272865</v>
      </c>
      <c r="H176" s="131">
        <v>331.90134426129976</v>
      </c>
      <c r="I176" s="131">
        <v>102840693.63566396</v>
      </c>
      <c r="J176" s="131">
        <v>256089211.32081446</v>
      </c>
      <c r="K176" s="131">
        <v>394.11275853556566</v>
      </c>
      <c r="L176" s="131">
        <v>417.35573790220792</v>
      </c>
      <c r="M176" s="131">
        <v>443.26400427856532</v>
      </c>
      <c r="N176" s="131">
        <v>468.20327344634092</v>
      </c>
      <c r="O176" s="131">
        <v>495.93851742695779</v>
      </c>
      <c r="P176" s="131">
        <v>2859004.6145561584</v>
      </c>
      <c r="Q176" s="131">
        <v>557.79066368735914</v>
      </c>
      <c r="R176" s="131">
        <v>589.21594117450945</v>
      </c>
      <c r="S176" s="131">
        <v>624.33215507088687</v>
      </c>
      <c r="T176" s="131">
        <v>682.68370394836552</v>
      </c>
      <c r="U176" s="131">
        <v>701.54032043215113</v>
      </c>
      <c r="V176" s="131">
        <v>740.77143690703599</v>
      </c>
      <c r="W176" s="131">
        <v>25605124.615586396</v>
      </c>
      <c r="X176" s="131">
        <v>831.15687355311172</v>
      </c>
      <c r="Y176" s="131">
        <v>882.65890748103322</v>
      </c>
      <c r="Z176" s="131">
        <v>932.12162244411752</v>
      </c>
      <c r="AA176" s="131">
        <v>987.54950575299051</v>
      </c>
      <c r="AB176" s="131">
        <v>9366639.8388507254</v>
      </c>
      <c r="AC176" s="131">
        <v>1113.1943095997126</v>
      </c>
      <c r="AD176" s="131">
        <v>1172.1368938932308</v>
      </c>
      <c r="AE176" s="131">
        <v>1241.4906570888302</v>
      </c>
    </row>
    <row r="177" spans="1:31" x14ac:dyDescent="0.2">
      <c r="A177" s="48"/>
      <c r="B177" s="172">
        <v>2</v>
      </c>
      <c r="C177" s="115" t="s">
        <v>97</v>
      </c>
      <c r="D177" s="236"/>
      <c r="E177" s="67" t="s">
        <v>35</v>
      </c>
      <c r="F177" s="131"/>
      <c r="G177" s="131">
        <v>61760927.637272865</v>
      </c>
      <c r="H177" s="131">
        <v>331.90134426129976</v>
      </c>
      <c r="I177" s="131">
        <v>102840693.63566396</v>
      </c>
      <c r="J177" s="131">
        <v>256089211.32081446</v>
      </c>
      <c r="K177" s="131">
        <v>394.11275853556566</v>
      </c>
      <c r="L177" s="131">
        <v>417.35573790220792</v>
      </c>
      <c r="M177" s="131">
        <v>443.26400427856532</v>
      </c>
      <c r="N177" s="131">
        <v>468.20327344634092</v>
      </c>
      <c r="O177" s="131">
        <v>495.93851742695779</v>
      </c>
      <c r="P177" s="131">
        <v>2859004.6145561584</v>
      </c>
      <c r="Q177" s="131">
        <v>557.79066368735914</v>
      </c>
      <c r="R177" s="131">
        <v>589.21594117450945</v>
      </c>
      <c r="S177" s="131">
        <v>624.33215507088687</v>
      </c>
      <c r="T177" s="131">
        <v>682.68370394836552</v>
      </c>
      <c r="U177" s="131">
        <v>701.54032043215113</v>
      </c>
      <c r="V177" s="131">
        <v>740.77143690703599</v>
      </c>
      <c r="W177" s="131">
        <v>25605124.615586396</v>
      </c>
      <c r="X177" s="131">
        <v>831.15687355311172</v>
      </c>
      <c r="Y177" s="131">
        <v>882.65890748103322</v>
      </c>
      <c r="Z177" s="131">
        <v>932.12162244411752</v>
      </c>
      <c r="AA177" s="131">
        <v>987.54950575299051</v>
      </c>
      <c r="AB177" s="131">
        <v>9366639.8388507254</v>
      </c>
      <c r="AC177" s="131">
        <v>1113.1943095997126</v>
      </c>
      <c r="AD177" s="131">
        <v>1172.1368938932308</v>
      </c>
      <c r="AE177" s="131">
        <v>1241.4906570888302</v>
      </c>
    </row>
    <row r="178" spans="1:31" x14ac:dyDescent="0.2">
      <c r="A178" s="48"/>
      <c r="B178" s="172">
        <v>3</v>
      </c>
      <c r="C178" s="115" t="s">
        <v>98</v>
      </c>
      <c r="D178" s="236"/>
      <c r="E178" s="67" t="s">
        <v>35</v>
      </c>
      <c r="F178" s="131"/>
      <c r="G178" s="131">
        <v>61760939.324637964</v>
      </c>
      <c r="H178" s="131">
        <v>224.49306025629275</v>
      </c>
      <c r="I178" s="131">
        <v>102841032.675883</v>
      </c>
      <c r="J178" s="131">
        <v>256089230.23261365</v>
      </c>
      <c r="K178" s="131">
        <v>266.57021016027613</v>
      </c>
      <c r="L178" s="131">
        <v>282.30202454394652</v>
      </c>
      <c r="M178" s="131">
        <v>299.82331683836475</v>
      </c>
      <c r="N178" s="131">
        <v>316.67890001773782</v>
      </c>
      <c r="O178" s="131">
        <v>335.41423329551037</v>
      </c>
      <c r="P178" s="131">
        <v>2548201.8099750034</v>
      </c>
      <c r="Q178" s="131">
        <v>377.23934386926499</v>
      </c>
      <c r="R178" s="131">
        <v>398.46905645142107</v>
      </c>
      <c r="S178" s="131">
        <v>422.16418577325601</v>
      </c>
      <c r="T178" s="131">
        <v>454.3722099784618</v>
      </c>
      <c r="U178" s="131">
        <v>474.49782747104041</v>
      </c>
      <c r="V178" s="131">
        <v>501.04214766371632</v>
      </c>
      <c r="W178" s="131">
        <v>25795412.113589071</v>
      </c>
      <c r="X178" s="131">
        <v>562.09431623846092</v>
      </c>
      <c r="Y178" s="131">
        <v>596.95939443684142</v>
      </c>
      <c r="Z178" s="131">
        <v>630.400122644352</v>
      </c>
      <c r="AA178" s="131">
        <v>667.88702993653624</v>
      </c>
      <c r="AB178" s="131">
        <v>9378190.771248471</v>
      </c>
      <c r="AC178" s="131">
        <v>752.46128312574353</v>
      </c>
      <c r="AD178" s="131">
        <v>792.69253467411966</v>
      </c>
      <c r="AE178" s="131">
        <v>839.6113026387219</v>
      </c>
    </row>
    <row r="179" spans="1:31" x14ac:dyDescent="0.2">
      <c r="A179" s="48"/>
      <c r="B179" s="172">
        <v>4</v>
      </c>
      <c r="C179" s="115" t="s">
        <v>99</v>
      </c>
      <c r="D179" s="236"/>
      <c r="E179" s="67" t="s">
        <v>35</v>
      </c>
      <c r="F179" s="131"/>
      <c r="G179" s="131">
        <v>61760898.523823492</v>
      </c>
      <c r="H179" s="131">
        <v>371.70211958868452</v>
      </c>
      <c r="I179" s="131">
        <v>102780304.23871593</v>
      </c>
      <c r="J179" s="131">
        <v>256368848.42490983</v>
      </c>
      <c r="K179" s="131">
        <v>441.36815606293993</v>
      </c>
      <c r="L179" s="131">
        <v>467.42416857118968</v>
      </c>
      <c r="M179" s="131">
        <v>496.43352668512711</v>
      </c>
      <c r="N179" s="131">
        <v>524.32883042910873</v>
      </c>
      <c r="O179" s="131">
        <v>555.32400008217053</v>
      </c>
      <c r="P179" s="131">
        <v>1015572.0566057441</v>
      </c>
      <c r="Q179" s="131">
        <v>624.53726538337492</v>
      </c>
      <c r="R179" s="131">
        <v>659.6466835574729</v>
      </c>
      <c r="S179" s="131">
        <v>698.78136533424686</v>
      </c>
      <c r="T179" s="131">
        <v>750.04115293764085</v>
      </c>
      <c r="U179" s="131">
        <v>785.56174068655457</v>
      </c>
      <c r="V179" s="131">
        <v>829.50658616682188</v>
      </c>
      <c r="W179" s="131">
        <v>28191929.73462541</v>
      </c>
      <c r="X179" s="131">
        <v>930.4349367541746</v>
      </c>
      <c r="Y179" s="131">
        <v>988.19265615118525</v>
      </c>
      <c r="Z179" s="131">
        <v>1043.5126130164911</v>
      </c>
      <c r="AA179" s="131">
        <v>1105.5052799157529</v>
      </c>
      <c r="AB179" s="131">
        <v>9397548.3277119119</v>
      </c>
      <c r="AC179" s="131">
        <v>1245.6511700617241</v>
      </c>
      <c r="AD179" s="131">
        <v>1312.0575381395518</v>
      </c>
      <c r="AE179" s="131">
        <v>1389.7022253695936</v>
      </c>
    </row>
    <row r="180" spans="1:31" x14ac:dyDescent="0.2">
      <c r="A180" s="48"/>
      <c r="B180" s="172">
        <v>5</v>
      </c>
      <c r="C180" s="115" t="s">
        <v>100</v>
      </c>
      <c r="D180" s="236"/>
      <c r="E180" s="67" t="s">
        <v>35</v>
      </c>
      <c r="F180" s="178" t="s">
        <v>240</v>
      </c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</row>
    <row r="181" spans="1:31" x14ac:dyDescent="0.2">
      <c r="A181" s="48"/>
      <c r="B181" s="172">
        <v>6</v>
      </c>
      <c r="C181" s="115" t="s">
        <v>174</v>
      </c>
      <c r="D181" s="236"/>
      <c r="E181" s="67" t="s">
        <v>35</v>
      </c>
      <c r="F181" s="178" t="s">
        <v>240</v>
      </c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</row>
    <row r="182" spans="1:31" x14ac:dyDescent="0.2">
      <c r="E182" s="65"/>
    </row>
    <row r="183" spans="1:31" x14ac:dyDescent="0.2">
      <c r="E183" s="65"/>
    </row>
    <row r="184" spans="1:31" ht="15.75" x14ac:dyDescent="0.25">
      <c r="B184" s="57" t="s">
        <v>60</v>
      </c>
      <c r="C184" s="57"/>
      <c r="D184" s="109"/>
      <c r="E184" s="108" t="s">
        <v>56</v>
      </c>
      <c r="F184" s="109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</row>
    <row r="185" spans="1:31" s="48" customFormat="1" ht="15.75" x14ac:dyDescent="0.25">
      <c r="A185" s="82"/>
      <c r="B185" s="111"/>
      <c r="C185" s="111"/>
      <c r="D185" s="113"/>
      <c r="E185" s="112"/>
      <c r="F185" s="187"/>
      <c r="G185" s="184"/>
      <c r="H185" s="184"/>
      <c r="I185" s="188"/>
      <c r="J185" s="188"/>
      <c r="K185" s="188"/>
      <c r="L185" s="111"/>
      <c r="M185" s="111"/>
      <c r="N185" s="111"/>
      <c r="O185" s="111"/>
      <c r="P185" s="111"/>
      <c r="Q185" s="111"/>
      <c r="R185" s="218"/>
      <c r="S185" s="111"/>
      <c r="T185" s="218"/>
      <c r="U185" s="218"/>
      <c r="V185" s="111"/>
      <c r="W185" s="218"/>
      <c r="X185" s="218"/>
      <c r="Y185" s="218"/>
      <c r="Z185" s="111"/>
      <c r="AA185" s="218"/>
      <c r="AB185" s="218"/>
      <c r="AC185" s="218"/>
      <c r="AD185" s="218"/>
      <c r="AE185" s="219"/>
    </row>
    <row r="186" spans="1:31" ht="15.75" x14ac:dyDescent="0.25">
      <c r="B186" s="58" t="s">
        <v>14</v>
      </c>
      <c r="C186" s="58" t="s">
        <v>13</v>
      </c>
      <c r="D186" s="76" t="s">
        <v>93</v>
      </c>
      <c r="E186" s="62" t="s">
        <v>7</v>
      </c>
      <c r="F186" s="143" t="s">
        <v>103</v>
      </c>
      <c r="G186" s="143" t="s">
        <v>104</v>
      </c>
      <c r="H186" s="143" t="s">
        <v>105</v>
      </c>
      <c r="I186" s="143" t="s">
        <v>106</v>
      </c>
      <c r="J186" s="143" t="s">
        <v>107</v>
      </c>
      <c r="K186" s="143" t="s">
        <v>108</v>
      </c>
      <c r="L186" s="143" t="s">
        <v>109</v>
      </c>
      <c r="M186" s="143" t="s">
        <v>110</v>
      </c>
      <c r="N186" s="143" t="s">
        <v>111</v>
      </c>
      <c r="O186" s="143" t="s">
        <v>112</v>
      </c>
      <c r="P186" s="143" t="s">
        <v>113</v>
      </c>
      <c r="Q186" s="143" t="s">
        <v>114</v>
      </c>
      <c r="R186" s="143" t="s">
        <v>115</v>
      </c>
      <c r="S186" s="143" t="s">
        <v>116</v>
      </c>
      <c r="T186" s="143" t="s">
        <v>117</v>
      </c>
      <c r="U186" s="143" t="s">
        <v>118</v>
      </c>
      <c r="V186" s="143" t="s">
        <v>119</v>
      </c>
      <c r="W186" s="143" t="s">
        <v>120</v>
      </c>
      <c r="X186" s="143" t="s">
        <v>121</v>
      </c>
      <c r="Y186" s="143" t="s">
        <v>122</v>
      </c>
      <c r="Z186" s="143" t="s">
        <v>123</v>
      </c>
      <c r="AA186" s="143" t="s">
        <v>124</v>
      </c>
      <c r="AB186" s="143" t="s">
        <v>125</v>
      </c>
      <c r="AC186" s="143" t="s">
        <v>126</v>
      </c>
      <c r="AD186" s="143" t="s">
        <v>127</v>
      </c>
      <c r="AE186" s="143" t="s">
        <v>153</v>
      </c>
    </row>
    <row r="187" spans="1:31" x14ac:dyDescent="0.2">
      <c r="A187" s="48"/>
      <c r="B187" s="172">
        <v>0</v>
      </c>
      <c r="C187" s="116" t="s">
        <v>15</v>
      </c>
      <c r="D187" s="236"/>
      <c r="E187" s="67" t="s">
        <v>35</v>
      </c>
      <c r="F187" s="131"/>
      <c r="G187" s="131">
        <v>240.39012697814647</v>
      </c>
      <c r="H187" s="131">
        <v>1041.5415065625609</v>
      </c>
      <c r="I187" s="131">
        <v>148.70329656795201</v>
      </c>
      <c r="J187" s="131">
        <v>47.060418287603781</v>
      </c>
      <c r="K187" s="131">
        <v>117.50989280796071</v>
      </c>
      <c r="L187" s="131">
        <v>362.20296319136133</v>
      </c>
      <c r="M187" s="131">
        <v>156.05803483694547</v>
      </c>
      <c r="N187" s="131">
        <v>278.05735085282635</v>
      </c>
      <c r="O187" s="131">
        <v>527.27760548123445</v>
      </c>
      <c r="P187" s="131">
        <v>254.10131525051656</v>
      </c>
      <c r="Q187" s="131">
        <v>121.59168643891159</v>
      </c>
      <c r="R187" s="131">
        <v>1248.5291070955927</v>
      </c>
      <c r="S187" s="131">
        <v>102.59661500187308</v>
      </c>
      <c r="T187" s="131">
        <v>109332855.45012955</v>
      </c>
      <c r="U187" s="131">
        <v>474290782.57177192</v>
      </c>
      <c r="V187" s="131">
        <v>327.26021339931293</v>
      </c>
      <c r="W187" s="131">
        <v>1242934215.9933231</v>
      </c>
      <c r="X187" s="131">
        <v>83006467.00150007</v>
      </c>
      <c r="Y187" s="131">
        <v>2265390.0414221245</v>
      </c>
      <c r="Z187" s="131">
        <v>61.81534004579774</v>
      </c>
      <c r="AA187" s="131">
        <v>93125001.114585623</v>
      </c>
      <c r="AB187" s="131">
        <v>163021478.4955712</v>
      </c>
      <c r="AC187" s="131">
        <v>24401693.31324099</v>
      </c>
      <c r="AD187" s="131">
        <v>217624080.9479233</v>
      </c>
      <c r="AE187" s="131">
        <v>12061229.274304623</v>
      </c>
    </row>
    <row r="188" spans="1:31" x14ac:dyDescent="0.2">
      <c r="A188" s="48"/>
      <c r="B188" s="172">
        <v>1</v>
      </c>
      <c r="C188" s="115" t="s">
        <v>96</v>
      </c>
      <c r="D188" s="236"/>
      <c r="E188" s="67" t="s">
        <v>35</v>
      </c>
      <c r="F188" s="131"/>
      <c r="G188" s="131">
        <v>582.49234796375811</v>
      </c>
      <c r="H188" s="131">
        <v>2488.3084164211514</v>
      </c>
      <c r="I188" s="131">
        <v>334.42379104979631</v>
      </c>
      <c r="J188" s="131">
        <v>103.94442963881004</v>
      </c>
      <c r="K188" s="131">
        <v>357.4100548745555</v>
      </c>
      <c r="L188" s="131">
        <v>870.26568950451747</v>
      </c>
      <c r="M188" s="131">
        <v>348.59603675662117</v>
      </c>
      <c r="N188" s="131">
        <v>657.7600694030042</v>
      </c>
      <c r="O188" s="131">
        <v>1259.6525247899274</v>
      </c>
      <c r="P188" s="131">
        <v>612.66653255583537</v>
      </c>
      <c r="Q188" s="131">
        <v>260.97401510066277</v>
      </c>
      <c r="R188" s="131">
        <v>2890.0214604399948</v>
      </c>
      <c r="S188" s="131">
        <v>280.09917304901882</v>
      </c>
      <c r="T188" s="131">
        <v>105113596.37157208</v>
      </c>
      <c r="U188" s="131">
        <v>479933703.87127268</v>
      </c>
      <c r="V188" s="131">
        <v>653.51902351670628</v>
      </c>
      <c r="W188" s="131">
        <v>1234515808.673255</v>
      </c>
      <c r="X188" s="131">
        <v>76176066.667953432</v>
      </c>
      <c r="Y188" s="131">
        <v>3629461.3526034704</v>
      </c>
      <c r="Z188" s="131">
        <v>158.34976010188845</v>
      </c>
      <c r="AA188" s="131">
        <v>106098657.84271242</v>
      </c>
      <c r="AB188" s="131">
        <v>160318788.39951411</v>
      </c>
      <c r="AC188" s="131">
        <v>23757153.829118412</v>
      </c>
      <c r="AD188" s="131">
        <v>221395248.22594154</v>
      </c>
      <c r="AE188" s="131">
        <v>12026721.727104913</v>
      </c>
    </row>
    <row r="189" spans="1:31" x14ac:dyDescent="0.2">
      <c r="A189" s="48"/>
      <c r="B189" s="172">
        <v>2</v>
      </c>
      <c r="C189" s="115" t="s">
        <v>97</v>
      </c>
      <c r="D189" s="236"/>
      <c r="E189" s="67" t="s">
        <v>35</v>
      </c>
      <c r="F189" s="131"/>
      <c r="G189" s="131">
        <v>582.49234796375811</v>
      </c>
      <c r="H189" s="131">
        <v>2488.3084164211514</v>
      </c>
      <c r="I189" s="131">
        <v>334.42379104979631</v>
      </c>
      <c r="J189" s="131">
        <v>103.94442963881004</v>
      </c>
      <c r="K189" s="131">
        <v>357.4100548745555</v>
      </c>
      <c r="L189" s="131">
        <v>870.26568950451747</v>
      </c>
      <c r="M189" s="131">
        <v>348.59603675662117</v>
      </c>
      <c r="N189" s="131">
        <v>657.7600694030042</v>
      </c>
      <c r="O189" s="131">
        <v>1259.6525247899274</v>
      </c>
      <c r="P189" s="131">
        <v>612.66653255583537</v>
      </c>
      <c r="Q189" s="131">
        <v>260.97401510066277</v>
      </c>
      <c r="R189" s="131">
        <v>2890.0214604399948</v>
      </c>
      <c r="S189" s="131">
        <v>280.09917304901882</v>
      </c>
      <c r="T189" s="131">
        <v>105113596.37157208</v>
      </c>
      <c r="U189" s="131">
        <v>479933703.87127268</v>
      </c>
      <c r="V189" s="131">
        <v>653.51902351670628</v>
      </c>
      <c r="W189" s="131">
        <v>1234515808.673255</v>
      </c>
      <c r="X189" s="131">
        <v>76176066.667953432</v>
      </c>
      <c r="Y189" s="131">
        <v>3629461.3526034704</v>
      </c>
      <c r="Z189" s="131">
        <v>158.34976010188845</v>
      </c>
      <c r="AA189" s="131">
        <v>106098657.84271242</v>
      </c>
      <c r="AB189" s="131">
        <v>160318788.39951411</v>
      </c>
      <c r="AC189" s="131">
        <v>23757153.829118412</v>
      </c>
      <c r="AD189" s="131">
        <v>221395248.22594154</v>
      </c>
      <c r="AE189" s="131">
        <v>12026721.727104913</v>
      </c>
    </row>
    <row r="190" spans="1:31" x14ac:dyDescent="0.2">
      <c r="A190" s="48"/>
      <c r="B190" s="172">
        <v>3</v>
      </c>
      <c r="C190" s="115" t="s">
        <v>98</v>
      </c>
      <c r="D190" s="236"/>
      <c r="E190" s="67" t="s">
        <v>35</v>
      </c>
      <c r="F190" s="131"/>
      <c r="G190" s="131">
        <v>811.86522277645486</v>
      </c>
      <c r="H190" s="131">
        <v>3415.7338440310727</v>
      </c>
      <c r="I190" s="131">
        <v>516.30442250142801</v>
      </c>
      <c r="J190" s="131">
        <v>162.48066198486617</v>
      </c>
      <c r="K190" s="131">
        <v>473.11227752550042</v>
      </c>
      <c r="L190" s="131">
        <v>1187.2967892985255</v>
      </c>
      <c r="M190" s="131">
        <v>485.92216732783436</v>
      </c>
      <c r="N190" s="131">
        <v>879.43706938636888</v>
      </c>
      <c r="O190" s="131">
        <v>1805.0349765102474</v>
      </c>
      <c r="P190" s="131">
        <v>795.51801242271722</v>
      </c>
      <c r="Q190" s="131">
        <v>379.12134821261827</v>
      </c>
      <c r="R190" s="131">
        <v>3935.5051970808468</v>
      </c>
      <c r="S190" s="131">
        <v>385.45161500525677</v>
      </c>
      <c r="T190" s="131">
        <v>105212324.07132302</v>
      </c>
      <c r="U190" s="131">
        <v>480298273.12915212</v>
      </c>
      <c r="V190" s="131">
        <v>892.49232259784833</v>
      </c>
      <c r="W190" s="131">
        <v>1232449205.9433017</v>
      </c>
      <c r="X190" s="131">
        <v>76683565.74993737</v>
      </c>
      <c r="Y190" s="131">
        <v>3374278.7122932556</v>
      </c>
      <c r="Z190" s="131">
        <v>242.47417069658394</v>
      </c>
      <c r="AA190" s="131">
        <v>106939528.4168981</v>
      </c>
      <c r="AB190" s="131">
        <v>160778305.48247606</v>
      </c>
      <c r="AC190" s="131">
        <v>23733890.347551767</v>
      </c>
      <c r="AD190" s="131">
        <v>221940025.2139414</v>
      </c>
      <c r="AE190" s="131">
        <v>12005144.959678167</v>
      </c>
    </row>
    <row r="191" spans="1:31" x14ac:dyDescent="0.2">
      <c r="A191" s="48"/>
      <c r="B191" s="172">
        <v>4</v>
      </c>
      <c r="C191" s="115" t="s">
        <v>99</v>
      </c>
      <c r="D191" s="236"/>
      <c r="E191" s="67" t="s">
        <v>35</v>
      </c>
      <c r="F191" s="131"/>
      <c r="G191" s="131">
        <v>207.78992759644191</v>
      </c>
      <c r="H191" s="131">
        <v>894.28604804268809</v>
      </c>
      <c r="I191" s="131">
        <v>124.88862717159618</v>
      </c>
      <c r="J191" s="131">
        <v>44.801119097503715</v>
      </c>
      <c r="K191" s="131">
        <v>107.51213763947102</v>
      </c>
      <c r="L191" s="131">
        <v>314.41326053448194</v>
      </c>
      <c r="M191" s="131">
        <v>129.18035365419095</v>
      </c>
      <c r="N191" s="131">
        <v>240.6843006952121</v>
      </c>
      <c r="O191" s="131">
        <v>466.23339040379841</v>
      </c>
      <c r="P191" s="131">
        <v>213.29924168778078</v>
      </c>
      <c r="Q191" s="131">
        <v>88.428324480057768</v>
      </c>
      <c r="R191" s="131">
        <v>1051.4904094011874</v>
      </c>
      <c r="S191" s="131">
        <v>92.875914386417648</v>
      </c>
      <c r="T191" s="131">
        <v>108445500.42665887</v>
      </c>
      <c r="U191" s="131">
        <v>474773182.71569693</v>
      </c>
      <c r="V191" s="131">
        <v>244.54604143842838</v>
      </c>
      <c r="W191" s="131">
        <v>1240794027.9272614</v>
      </c>
      <c r="X191" s="131">
        <v>82155718.041468129</v>
      </c>
      <c r="Y191" s="131">
        <v>2522765.1265218952</v>
      </c>
      <c r="Z191" s="131">
        <v>57.419947999596509</v>
      </c>
      <c r="AA191" s="131">
        <v>96306871.882867515</v>
      </c>
      <c r="AB191" s="131">
        <v>162268238.43134284</v>
      </c>
      <c r="AC191" s="131">
        <v>24356175.00409507</v>
      </c>
      <c r="AD191" s="131">
        <v>219742153.83315185</v>
      </c>
      <c r="AE191" s="131">
        <v>11984185.330179812</v>
      </c>
    </row>
    <row r="192" spans="1:31" x14ac:dyDescent="0.2">
      <c r="A192" s="48"/>
      <c r="B192" s="172">
        <v>5</v>
      </c>
      <c r="C192" s="115" t="s">
        <v>100</v>
      </c>
      <c r="D192" s="236"/>
      <c r="E192" s="67" t="s">
        <v>35</v>
      </c>
      <c r="F192" s="178" t="s">
        <v>240</v>
      </c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</row>
    <row r="193" spans="1:31" x14ac:dyDescent="0.2">
      <c r="A193" s="48"/>
      <c r="B193" s="172">
        <v>6</v>
      </c>
      <c r="C193" s="115" t="s">
        <v>174</v>
      </c>
      <c r="D193" s="236"/>
      <c r="E193" s="67" t="s">
        <v>35</v>
      </c>
      <c r="F193" s="178" t="s">
        <v>240</v>
      </c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</row>
    <row r="194" spans="1:31" s="48" customFormat="1" x14ac:dyDescent="0.2">
      <c r="A194" s="82"/>
      <c r="B194" s="64"/>
      <c r="C194" s="72"/>
      <c r="D194" s="69"/>
      <c r="E194" s="73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219"/>
    </row>
    <row r="195" spans="1:31" s="48" customFormat="1" ht="15.75" x14ac:dyDescent="0.25">
      <c r="A195" s="82"/>
      <c r="B195" s="58" t="s">
        <v>14</v>
      </c>
      <c r="C195" s="58" t="s">
        <v>13</v>
      </c>
      <c r="D195" s="76" t="s">
        <v>151</v>
      </c>
      <c r="E195" s="62" t="s">
        <v>7</v>
      </c>
      <c r="F195" s="143" t="s">
        <v>103</v>
      </c>
      <c r="G195" s="143" t="s">
        <v>104</v>
      </c>
      <c r="H195" s="143" t="s">
        <v>105</v>
      </c>
      <c r="I195" s="143" t="s">
        <v>106</v>
      </c>
      <c r="J195" s="143" t="s">
        <v>107</v>
      </c>
      <c r="K195" s="143" t="s">
        <v>108</v>
      </c>
      <c r="L195" s="143" t="s">
        <v>109</v>
      </c>
      <c r="M195" s="143" t="s">
        <v>110</v>
      </c>
      <c r="N195" s="143" t="s">
        <v>111</v>
      </c>
      <c r="O195" s="143" t="s">
        <v>112</v>
      </c>
      <c r="P195" s="143" t="s">
        <v>113</v>
      </c>
      <c r="Q195" s="143" t="s">
        <v>114</v>
      </c>
      <c r="R195" s="143" t="s">
        <v>115</v>
      </c>
      <c r="S195" s="143" t="s">
        <v>116</v>
      </c>
      <c r="T195" s="143" t="s">
        <v>117</v>
      </c>
      <c r="U195" s="143" t="s">
        <v>118</v>
      </c>
      <c r="V195" s="143" t="s">
        <v>119</v>
      </c>
      <c r="W195" s="143" t="s">
        <v>120</v>
      </c>
      <c r="X195" s="143" t="s">
        <v>121</v>
      </c>
      <c r="Y195" s="143" t="s">
        <v>122</v>
      </c>
      <c r="Z195" s="143" t="s">
        <v>123</v>
      </c>
      <c r="AA195" s="143" t="s">
        <v>124</v>
      </c>
      <c r="AB195" s="143" t="s">
        <v>125</v>
      </c>
      <c r="AC195" s="143" t="s">
        <v>126</v>
      </c>
      <c r="AD195" s="143" t="s">
        <v>127</v>
      </c>
      <c r="AE195" s="143" t="s">
        <v>153</v>
      </c>
    </row>
    <row r="196" spans="1:31" s="48" customFormat="1" x14ac:dyDescent="0.2">
      <c r="B196" s="172">
        <v>0</v>
      </c>
      <c r="C196" s="116" t="s">
        <v>15</v>
      </c>
      <c r="D196" s="236"/>
      <c r="E196" s="67" t="s">
        <v>35</v>
      </c>
      <c r="F196" s="131"/>
      <c r="G196" s="131">
        <v>2061.3878391577086</v>
      </c>
      <c r="H196" s="131">
        <v>323302675.97959769</v>
      </c>
      <c r="I196" s="131">
        <v>327662734.70923573</v>
      </c>
      <c r="J196" s="131">
        <v>291631995.91310525</v>
      </c>
      <c r="K196" s="131">
        <v>193685902.77061111</v>
      </c>
      <c r="L196" s="131">
        <v>585459311.80703211</v>
      </c>
      <c r="M196" s="131">
        <v>277613470.54631108</v>
      </c>
      <c r="N196" s="131">
        <v>1009154135.3129966</v>
      </c>
      <c r="O196" s="131">
        <v>219552499.68163085</v>
      </c>
      <c r="P196" s="131">
        <v>144097453.72613245</v>
      </c>
      <c r="Q196" s="131">
        <v>26809377.895071182</v>
      </c>
      <c r="R196" s="131">
        <v>648609518.56422091</v>
      </c>
      <c r="S196" s="131">
        <v>177812617.15637591</v>
      </c>
      <c r="T196" s="131">
        <v>1461.3526351625346</v>
      </c>
      <c r="U196" s="131">
        <v>307704739.02598035</v>
      </c>
      <c r="V196" s="131">
        <v>410287333.33727658</v>
      </c>
      <c r="W196" s="131">
        <v>2135927059.1820679</v>
      </c>
      <c r="X196" s="131">
        <v>147881415.20674533</v>
      </c>
      <c r="Y196" s="131">
        <v>17820644.735691354</v>
      </c>
      <c r="Z196" s="131">
        <v>129038213.09642939</v>
      </c>
      <c r="AA196" s="131">
        <v>195215066.50025997</v>
      </c>
      <c r="AB196" s="131">
        <v>694375404.9209764</v>
      </c>
      <c r="AC196" s="131">
        <v>70009536.146387488</v>
      </c>
      <c r="AD196" s="131">
        <v>52.747753409896411</v>
      </c>
      <c r="AE196" s="131">
        <v>31.456706285306069</v>
      </c>
    </row>
    <row r="197" spans="1:31" s="48" customFormat="1" x14ac:dyDescent="0.2">
      <c r="B197" s="172">
        <v>1</v>
      </c>
      <c r="C197" s="115" t="s">
        <v>96</v>
      </c>
      <c r="D197" s="236"/>
      <c r="E197" s="67" t="s">
        <v>35</v>
      </c>
      <c r="F197" s="131"/>
      <c r="G197" s="131">
        <v>2376.8793044142385</v>
      </c>
      <c r="H197" s="131">
        <v>280668604.92980695</v>
      </c>
      <c r="I197" s="131">
        <v>329874816.2755999</v>
      </c>
      <c r="J197" s="131">
        <v>289259304.9774574</v>
      </c>
      <c r="K197" s="131">
        <v>144754167.14948848</v>
      </c>
      <c r="L197" s="131">
        <v>607631603.50681043</v>
      </c>
      <c r="M197" s="131">
        <v>276260390.66658932</v>
      </c>
      <c r="N197" s="131">
        <v>937230384.57114458</v>
      </c>
      <c r="O197" s="131">
        <v>150189954.10319835</v>
      </c>
      <c r="P197" s="131">
        <v>247814290.30277282</v>
      </c>
      <c r="Q197" s="131">
        <v>27997699.285948019</v>
      </c>
      <c r="R197" s="131">
        <v>656391099.75564098</v>
      </c>
      <c r="S197" s="131">
        <v>199054241.54930186</v>
      </c>
      <c r="T197" s="131">
        <v>1723.559632681129</v>
      </c>
      <c r="U197" s="131">
        <v>328095638.77062064</v>
      </c>
      <c r="V197" s="131">
        <v>340577601.00893146</v>
      </c>
      <c r="W197" s="131">
        <v>2169669175.7206712</v>
      </c>
      <c r="X197" s="131">
        <v>148735697.36437678</v>
      </c>
      <c r="Y197" s="131">
        <v>16235854.298207911</v>
      </c>
      <c r="Z197" s="131">
        <v>132178864.41643688</v>
      </c>
      <c r="AA197" s="131">
        <v>172711877.27305755</v>
      </c>
      <c r="AB197" s="131">
        <v>697214328.14382815</v>
      </c>
      <c r="AC197" s="131">
        <v>77205883.242563263</v>
      </c>
      <c r="AD197" s="131">
        <v>63.059238620402084</v>
      </c>
      <c r="AE197" s="131">
        <v>26.488566300186122</v>
      </c>
    </row>
    <row r="198" spans="1:31" s="48" customFormat="1" x14ac:dyDescent="0.2">
      <c r="B198" s="172">
        <v>2</v>
      </c>
      <c r="C198" s="115" t="s">
        <v>97</v>
      </c>
      <c r="D198" s="236"/>
      <c r="E198" s="67" t="s">
        <v>35</v>
      </c>
      <c r="F198" s="131"/>
      <c r="G198" s="131">
        <v>2376.8793044142385</v>
      </c>
      <c r="H198" s="131">
        <v>280668604.92980695</v>
      </c>
      <c r="I198" s="131">
        <v>329874816.2755999</v>
      </c>
      <c r="J198" s="131">
        <v>289259304.9774574</v>
      </c>
      <c r="K198" s="131">
        <v>144754167.14948848</v>
      </c>
      <c r="L198" s="131">
        <v>607631603.50681043</v>
      </c>
      <c r="M198" s="131">
        <v>276260390.66658932</v>
      </c>
      <c r="N198" s="131">
        <v>937230384.57114458</v>
      </c>
      <c r="O198" s="131">
        <v>150189954.10319835</v>
      </c>
      <c r="P198" s="131">
        <v>247814290.30277282</v>
      </c>
      <c r="Q198" s="131">
        <v>27997699.285948019</v>
      </c>
      <c r="R198" s="131">
        <v>656391099.75564098</v>
      </c>
      <c r="S198" s="131">
        <v>199054241.54930186</v>
      </c>
      <c r="T198" s="131">
        <v>1723.559632681129</v>
      </c>
      <c r="U198" s="131">
        <v>328095638.77062064</v>
      </c>
      <c r="V198" s="131">
        <v>340577601.00893146</v>
      </c>
      <c r="W198" s="131">
        <v>2169669175.7206712</v>
      </c>
      <c r="X198" s="131">
        <v>148735697.36437678</v>
      </c>
      <c r="Y198" s="131">
        <v>16235854.298207911</v>
      </c>
      <c r="Z198" s="131">
        <v>132178864.41643688</v>
      </c>
      <c r="AA198" s="131">
        <v>172711877.27305755</v>
      </c>
      <c r="AB198" s="131">
        <v>697214328.14382815</v>
      </c>
      <c r="AC198" s="131">
        <v>77205883.242563263</v>
      </c>
      <c r="AD198" s="131">
        <v>63.059238620402084</v>
      </c>
      <c r="AE198" s="131">
        <v>26.488566300186122</v>
      </c>
    </row>
    <row r="199" spans="1:31" s="48" customFormat="1" x14ac:dyDescent="0.2">
      <c r="B199" s="172">
        <v>3</v>
      </c>
      <c r="C199" s="115" t="s">
        <v>98</v>
      </c>
      <c r="D199" s="236"/>
      <c r="E199" s="67" t="s">
        <v>35</v>
      </c>
      <c r="F199" s="131"/>
      <c r="G199" s="131">
        <v>2785.2255620156443</v>
      </c>
      <c r="H199" s="131">
        <v>280756128.40875393</v>
      </c>
      <c r="I199" s="131">
        <v>329229691.33835775</v>
      </c>
      <c r="J199" s="131">
        <v>288675405.54946375</v>
      </c>
      <c r="K199" s="131">
        <v>145803543.9552398</v>
      </c>
      <c r="L199" s="131">
        <v>610606433.29072344</v>
      </c>
      <c r="M199" s="131">
        <v>274159399.15206373</v>
      </c>
      <c r="N199" s="131">
        <v>931464425.56407154</v>
      </c>
      <c r="O199" s="131">
        <v>151117254.12802306</v>
      </c>
      <c r="P199" s="131">
        <v>249965494.59712437</v>
      </c>
      <c r="Q199" s="131">
        <v>27983625.719184205</v>
      </c>
      <c r="R199" s="131">
        <v>655390844.88491511</v>
      </c>
      <c r="S199" s="131">
        <v>199264827.10500449</v>
      </c>
      <c r="T199" s="131">
        <v>2031.2953046392483</v>
      </c>
      <c r="U199" s="131">
        <v>335208039.42730826</v>
      </c>
      <c r="V199" s="131">
        <v>336943392.07914734</v>
      </c>
      <c r="W199" s="131">
        <v>2170151509.8218727</v>
      </c>
      <c r="X199" s="131">
        <v>147071734.10760102</v>
      </c>
      <c r="Y199" s="131">
        <v>15769401.42049709</v>
      </c>
      <c r="Z199" s="131">
        <v>132208442.41125797</v>
      </c>
      <c r="AA199" s="131">
        <v>172266864.37686944</v>
      </c>
      <c r="AB199" s="131">
        <v>699548894.95447123</v>
      </c>
      <c r="AC199" s="131">
        <v>76087155.277784616</v>
      </c>
      <c r="AD199" s="131">
        <v>77.102075989509302</v>
      </c>
      <c r="AE199" s="131">
        <v>37.98975420725548</v>
      </c>
    </row>
    <row r="200" spans="1:31" s="48" customFormat="1" x14ac:dyDescent="0.2">
      <c r="B200" s="172">
        <v>4</v>
      </c>
      <c r="C200" s="115" t="s">
        <v>99</v>
      </c>
      <c r="D200" s="236"/>
      <c r="E200" s="67" t="s">
        <v>35</v>
      </c>
      <c r="F200" s="131"/>
      <c r="G200" s="131">
        <v>2140.922113308995</v>
      </c>
      <c r="H200" s="131">
        <v>319411198.1213091</v>
      </c>
      <c r="I200" s="131">
        <v>325349683.95586812</v>
      </c>
      <c r="J200" s="131">
        <v>288831228.95969898</v>
      </c>
      <c r="K200" s="131">
        <v>192869299.06523854</v>
      </c>
      <c r="L200" s="131">
        <v>582969393.25079012</v>
      </c>
      <c r="M200" s="131">
        <v>284669828.87612116</v>
      </c>
      <c r="N200" s="131">
        <v>1002985319.6303017</v>
      </c>
      <c r="O200" s="131">
        <v>219588782.95741975</v>
      </c>
      <c r="P200" s="131">
        <v>153144165.96631265</v>
      </c>
      <c r="Q200" s="131">
        <v>27956683.49347372</v>
      </c>
      <c r="R200" s="131">
        <v>650651417.50467455</v>
      </c>
      <c r="S200" s="131">
        <v>175236604.31424001</v>
      </c>
      <c r="T200" s="131">
        <v>1504.5089133800868</v>
      </c>
      <c r="U200" s="131">
        <v>312655626.28266311</v>
      </c>
      <c r="V200" s="131">
        <v>413153821.25231999</v>
      </c>
      <c r="W200" s="131">
        <v>2131704394.0983026</v>
      </c>
      <c r="X200" s="131">
        <v>148511134.409881</v>
      </c>
      <c r="Y200" s="131">
        <v>18973368.819941398</v>
      </c>
      <c r="Z200" s="131">
        <v>128871915.25277545</v>
      </c>
      <c r="AA200" s="131">
        <v>191225326.80186641</v>
      </c>
      <c r="AB200" s="131">
        <v>696989483.16230142</v>
      </c>
      <c r="AC200" s="131">
        <v>68643116.273002028</v>
      </c>
      <c r="AD200" s="131">
        <v>48.74380348787664</v>
      </c>
      <c r="AE200" s="131">
        <v>25.379036772820573</v>
      </c>
    </row>
    <row r="201" spans="1:31" s="48" customFormat="1" x14ac:dyDescent="0.2">
      <c r="B201" s="172">
        <v>5</v>
      </c>
      <c r="C201" s="115" t="s">
        <v>100</v>
      </c>
      <c r="D201" s="236"/>
      <c r="E201" s="67" t="s">
        <v>35</v>
      </c>
      <c r="F201" s="178" t="s">
        <v>240</v>
      </c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</row>
    <row r="202" spans="1:31" s="48" customFormat="1" x14ac:dyDescent="0.2">
      <c r="B202" s="172">
        <v>6</v>
      </c>
      <c r="C202" s="115" t="s">
        <v>174</v>
      </c>
      <c r="D202" s="236"/>
      <c r="E202" s="67" t="s">
        <v>35</v>
      </c>
      <c r="F202" s="178" t="s">
        <v>240</v>
      </c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</row>
    <row r="203" spans="1:31" s="48" customFormat="1" x14ac:dyDescent="0.2">
      <c r="A203" s="82"/>
      <c r="B203" s="64"/>
      <c r="C203" s="72"/>
      <c r="D203" s="69"/>
      <c r="E203" s="73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219"/>
    </row>
    <row r="204" spans="1:31" s="48" customFormat="1" ht="15.75" x14ac:dyDescent="0.25">
      <c r="A204" s="82"/>
      <c r="B204" s="58" t="s">
        <v>14</v>
      </c>
      <c r="C204" s="58" t="s">
        <v>13</v>
      </c>
      <c r="D204" s="76" t="s">
        <v>152</v>
      </c>
      <c r="E204" s="62" t="s">
        <v>7</v>
      </c>
      <c r="F204" s="143" t="s">
        <v>103</v>
      </c>
      <c r="G204" s="143" t="s">
        <v>104</v>
      </c>
      <c r="H204" s="143" t="s">
        <v>105</v>
      </c>
      <c r="I204" s="143" t="s">
        <v>106</v>
      </c>
      <c r="J204" s="143" t="s">
        <v>107</v>
      </c>
      <c r="K204" s="143" t="s">
        <v>108</v>
      </c>
      <c r="L204" s="143" t="s">
        <v>109</v>
      </c>
      <c r="M204" s="143" t="s">
        <v>110</v>
      </c>
      <c r="N204" s="143" t="s">
        <v>111</v>
      </c>
      <c r="O204" s="143" t="s">
        <v>112</v>
      </c>
      <c r="P204" s="143" t="s">
        <v>113</v>
      </c>
      <c r="Q204" s="143" t="s">
        <v>114</v>
      </c>
      <c r="R204" s="143" t="s">
        <v>115</v>
      </c>
      <c r="S204" s="143" t="s">
        <v>116</v>
      </c>
      <c r="T204" s="143" t="s">
        <v>117</v>
      </c>
      <c r="U204" s="143" t="s">
        <v>118</v>
      </c>
      <c r="V204" s="143" t="s">
        <v>119</v>
      </c>
      <c r="W204" s="143" t="s">
        <v>120</v>
      </c>
      <c r="X204" s="143" t="s">
        <v>121</v>
      </c>
      <c r="Y204" s="143" t="s">
        <v>122</v>
      </c>
      <c r="Z204" s="143" t="s">
        <v>123</v>
      </c>
      <c r="AA204" s="143" t="s">
        <v>124</v>
      </c>
      <c r="AB204" s="143" t="s">
        <v>125</v>
      </c>
      <c r="AC204" s="143" t="s">
        <v>126</v>
      </c>
      <c r="AD204" s="143" t="s">
        <v>127</v>
      </c>
      <c r="AE204" s="143" t="s">
        <v>153</v>
      </c>
    </row>
    <row r="205" spans="1:31" s="48" customFormat="1" x14ac:dyDescent="0.2">
      <c r="B205" s="172">
        <v>0</v>
      </c>
      <c r="C205" s="116" t="s">
        <v>15</v>
      </c>
      <c r="D205" s="236"/>
      <c r="E205" s="67" t="s">
        <v>35</v>
      </c>
      <c r="F205" s="131"/>
      <c r="G205" s="131">
        <v>779.99796771546892</v>
      </c>
      <c r="H205" s="131">
        <v>2062.3286888969874</v>
      </c>
      <c r="I205" s="131">
        <v>345.83943412832446</v>
      </c>
      <c r="J205" s="131">
        <v>116.62412051952327</v>
      </c>
      <c r="K205" s="131">
        <v>121.78023858346057</v>
      </c>
      <c r="L205" s="131">
        <v>182.96813679644342</v>
      </c>
      <c r="M205" s="131">
        <v>120.30262295328775</v>
      </c>
      <c r="N205" s="131">
        <v>28302292.312984847</v>
      </c>
      <c r="O205" s="131">
        <v>132.53080034453851</v>
      </c>
      <c r="P205" s="131">
        <v>146.01937745307305</v>
      </c>
      <c r="Q205" s="131">
        <v>325.4633984326627</v>
      </c>
      <c r="R205" s="131">
        <v>311.95003226731507</v>
      </c>
      <c r="S205" s="131">
        <v>179.32112555813384</v>
      </c>
      <c r="T205" s="131">
        <v>460.28067309436761</v>
      </c>
      <c r="U205" s="131">
        <v>1064.9518116547176</v>
      </c>
      <c r="V205" s="131">
        <v>1193.4568052796078</v>
      </c>
      <c r="W205" s="131">
        <v>198813444.3583568</v>
      </c>
      <c r="X205" s="131">
        <v>811.82804295726078</v>
      </c>
      <c r="Y205" s="131">
        <v>302.00694501259335</v>
      </c>
      <c r="Z205" s="131">
        <v>143894354.11141181</v>
      </c>
      <c r="AA205" s="131">
        <v>138828859.10398507</v>
      </c>
      <c r="AB205" s="131">
        <v>165776666.81768402</v>
      </c>
      <c r="AC205" s="131">
        <v>6649874.0304743322</v>
      </c>
      <c r="AD205" s="131">
        <v>48939591.676429756</v>
      </c>
      <c r="AE205" s="131">
        <v>10602950.307248885</v>
      </c>
    </row>
    <row r="206" spans="1:31" s="48" customFormat="1" x14ac:dyDescent="0.2">
      <c r="B206" s="172">
        <v>1</v>
      </c>
      <c r="C206" s="115" t="s">
        <v>96</v>
      </c>
      <c r="D206" s="236"/>
      <c r="E206" s="67" t="s">
        <v>35</v>
      </c>
      <c r="F206" s="131"/>
      <c r="G206" s="131">
        <v>770.26383187142403</v>
      </c>
      <c r="H206" s="131">
        <v>1941.296963964068</v>
      </c>
      <c r="I206" s="131">
        <v>306.78586934177173</v>
      </c>
      <c r="J206" s="131">
        <v>140.48873577632378</v>
      </c>
      <c r="K206" s="131">
        <v>139.54557138735828</v>
      </c>
      <c r="L206" s="131">
        <v>192.62754378563017</v>
      </c>
      <c r="M206" s="131">
        <v>107.24214606542149</v>
      </c>
      <c r="N206" s="131">
        <v>28348398.305508517</v>
      </c>
      <c r="O206" s="131">
        <v>123.70961354300708</v>
      </c>
      <c r="P206" s="131">
        <v>167.48685130034394</v>
      </c>
      <c r="Q206" s="131">
        <v>340.9894614689436</v>
      </c>
      <c r="R206" s="131">
        <v>287.8474045677786</v>
      </c>
      <c r="S206" s="131">
        <v>171.98844184433992</v>
      </c>
      <c r="T206" s="131">
        <v>475.66954952758579</v>
      </c>
      <c r="U206" s="131">
        <v>968.66973378554189</v>
      </c>
      <c r="V206" s="131">
        <v>1156.8321211884747</v>
      </c>
      <c r="W206" s="131">
        <v>170958056.52309561</v>
      </c>
      <c r="X206" s="131">
        <v>580.24653326407736</v>
      </c>
      <c r="Y206" s="131">
        <v>284.59940761336065</v>
      </c>
      <c r="Z206" s="131">
        <v>125893972.00997786</v>
      </c>
      <c r="AA206" s="131">
        <v>144976260.43448046</v>
      </c>
      <c r="AB206" s="131">
        <v>177069285.73420575</v>
      </c>
      <c r="AC206" s="131">
        <v>12808259.781143865</v>
      </c>
      <c r="AD206" s="131">
        <v>49601261.472386792</v>
      </c>
      <c r="AE206" s="131">
        <v>14085501.63676613</v>
      </c>
    </row>
    <row r="207" spans="1:31" s="48" customFormat="1" x14ac:dyDescent="0.2">
      <c r="B207" s="172">
        <v>2</v>
      </c>
      <c r="C207" s="115" t="s">
        <v>97</v>
      </c>
      <c r="D207" s="236"/>
      <c r="E207" s="67" t="s">
        <v>35</v>
      </c>
      <c r="F207" s="131"/>
      <c r="G207" s="131">
        <v>770.26383187142403</v>
      </c>
      <c r="H207" s="131">
        <v>1941.296963964068</v>
      </c>
      <c r="I207" s="131">
        <v>306.78586934177173</v>
      </c>
      <c r="J207" s="131">
        <v>140.48873577632378</v>
      </c>
      <c r="K207" s="131">
        <v>139.54557138735828</v>
      </c>
      <c r="L207" s="131">
        <v>192.62754378563017</v>
      </c>
      <c r="M207" s="131">
        <v>107.24214606542149</v>
      </c>
      <c r="N207" s="131">
        <v>28348398.305508517</v>
      </c>
      <c r="O207" s="131">
        <v>123.70961354300708</v>
      </c>
      <c r="P207" s="131">
        <v>167.48685130034394</v>
      </c>
      <c r="Q207" s="131">
        <v>340.9894614689436</v>
      </c>
      <c r="R207" s="131">
        <v>287.8474045677786</v>
      </c>
      <c r="S207" s="131">
        <v>171.98844184433992</v>
      </c>
      <c r="T207" s="131">
        <v>475.66954952758579</v>
      </c>
      <c r="U207" s="131">
        <v>968.66973378554189</v>
      </c>
      <c r="V207" s="131">
        <v>1156.8321211884747</v>
      </c>
      <c r="W207" s="131">
        <v>170958056.52309561</v>
      </c>
      <c r="X207" s="131">
        <v>580.24653326407736</v>
      </c>
      <c r="Y207" s="131">
        <v>284.59940761336065</v>
      </c>
      <c r="Z207" s="131">
        <v>125893972.00997786</v>
      </c>
      <c r="AA207" s="131">
        <v>144976260.43448046</v>
      </c>
      <c r="AB207" s="131">
        <v>177069285.73420575</v>
      </c>
      <c r="AC207" s="131">
        <v>12808259.781143865</v>
      </c>
      <c r="AD207" s="131">
        <v>49601261.472386792</v>
      </c>
      <c r="AE207" s="131">
        <v>14085501.63676613</v>
      </c>
    </row>
    <row r="208" spans="1:31" s="48" customFormat="1" x14ac:dyDescent="0.2">
      <c r="B208" s="172">
        <v>3</v>
      </c>
      <c r="C208" s="115" t="s">
        <v>98</v>
      </c>
      <c r="D208" s="236"/>
      <c r="E208" s="67" t="s">
        <v>35</v>
      </c>
      <c r="F208" s="131"/>
      <c r="G208" s="131">
        <v>287.07864044046789</v>
      </c>
      <c r="H208" s="131">
        <v>760.8154887641532</v>
      </c>
      <c r="I208" s="131">
        <v>139.23361070276113</v>
      </c>
      <c r="J208" s="131">
        <v>42.470179290857267</v>
      </c>
      <c r="K208" s="131">
        <v>49.778500777066711</v>
      </c>
      <c r="L208" s="131">
        <v>79.391633617640849</v>
      </c>
      <c r="M208" s="131">
        <v>39.039618422396579</v>
      </c>
      <c r="N208" s="131">
        <v>28347335.255415149</v>
      </c>
      <c r="O208" s="131">
        <v>40.481100376039706</v>
      </c>
      <c r="P208" s="131">
        <v>71.876656508897028</v>
      </c>
      <c r="Q208" s="131">
        <v>106.43940255903581</v>
      </c>
      <c r="R208" s="131">
        <v>118.63358809951073</v>
      </c>
      <c r="S208" s="131">
        <v>66.004503186086211</v>
      </c>
      <c r="T208" s="131">
        <v>181.75782279505168</v>
      </c>
      <c r="U208" s="131">
        <v>385.89224261376279</v>
      </c>
      <c r="V208" s="131">
        <v>472.33771472631253</v>
      </c>
      <c r="W208" s="131">
        <v>169566462.32927835</v>
      </c>
      <c r="X208" s="131">
        <v>219.97522441538808</v>
      </c>
      <c r="Y208" s="131">
        <v>113.63152376899147</v>
      </c>
      <c r="Z208" s="131">
        <v>125828262.91686587</v>
      </c>
      <c r="AA208" s="131">
        <v>145854417.87732813</v>
      </c>
      <c r="AB208" s="131">
        <v>177209000.09556979</v>
      </c>
      <c r="AC208" s="131">
        <v>12524227.902348099</v>
      </c>
      <c r="AD208" s="131">
        <v>49631910.221290164</v>
      </c>
      <c r="AE208" s="131">
        <v>14127635.476440664</v>
      </c>
    </row>
    <row r="209" spans="1:31" s="48" customFormat="1" x14ac:dyDescent="0.2">
      <c r="B209" s="172">
        <v>4</v>
      </c>
      <c r="C209" s="115" t="s">
        <v>99</v>
      </c>
      <c r="D209" s="236"/>
      <c r="E209" s="67" t="s">
        <v>35</v>
      </c>
      <c r="F209" s="131"/>
      <c r="G209" s="131">
        <v>328.40091175458082</v>
      </c>
      <c r="H209" s="131">
        <v>853.63685950892454</v>
      </c>
      <c r="I209" s="131">
        <v>140.81158613633909</v>
      </c>
      <c r="J209" s="131">
        <v>54.762027968159764</v>
      </c>
      <c r="K209" s="131">
        <v>51.463382356675773</v>
      </c>
      <c r="L209" s="131">
        <v>83.767763908347845</v>
      </c>
      <c r="M209" s="131">
        <v>46.23611286771802</v>
      </c>
      <c r="N209" s="131">
        <v>28304199.162297029</v>
      </c>
      <c r="O209" s="131">
        <v>50.874966367959573</v>
      </c>
      <c r="P209" s="131">
        <v>78.068685608801886</v>
      </c>
      <c r="Q209" s="131">
        <v>121.73467080252418</v>
      </c>
      <c r="R209" s="131">
        <v>133.13657018503727</v>
      </c>
      <c r="S209" s="131">
        <v>71.532334291401284</v>
      </c>
      <c r="T209" s="131">
        <v>191.47235354322615</v>
      </c>
      <c r="U209" s="131">
        <v>443.21522650770657</v>
      </c>
      <c r="V209" s="131">
        <v>476.97019234348261</v>
      </c>
      <c r="W209" s="131">
        <v>195718879.3365944</v>
      </c>
      <c r="X209" s="131">
        <v>328.79606969433149</v>
      </c>
      <c r="Y209" s="131">
        <v>134.50126303669197</v>
      </c>
      <c r="Z209" s="131">
        <v>142346994.83596563</v>
      </c>
      <c r="AA209" s="131">
        <v>138947372.41656214</v>
      </c>
      <c r="AB209" s="131">
        <v>166211149.43402171</v>
      </c>
      <c r="AC209" s="131">
        <v>7632025.441284487</v>
      </c>
      <c r="AD209" s="131">
        <v>49095079.506380111</v>
      </c>
      <c r="AE209" s="131">
        <v>11065208.309804367</v>
      </c>
    </row>
    <row r="210" spans="1:31" s="48" customFormat="1" x14ac:dyDescent="0.2">
      <c r="B210" s="172">
        <v>5</v>
      </c>
      <c r="C210" s="115" t="s">
        <v>100</v>
      </c>
      <c r="D210" s="236"/>
      <c r="E210" s="67" t="s">
        <v>35</v>
      </c>
      <c r="F210" s="178" t="s">
        <v>240</v>
      </c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</row>
    <row r="211" spans="1:31" s="48" customFormat="1" x14ac:dyDescent="0.2">
      <c r="B211" s="172">
        <v>6</v>
      </c>
      <c r="C211" s="115" t="s">
        <v>174</v>
      </c>
      <c r="D211" s="236"/>
      <c r="E211" s="67" t="s">
        <v>35</v>
      </c>
      <c r="F211" s="178" t="s">
        <v>240</v>
      </c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</row>
    <row r="212" spans="1:31" s="48" customFormat="1" x14ac:dyDescent="0.2">
      <c r="A212" s="82"/>
      <c r="B212" s="64"/>
      <c r="C212" s="72"/>
      <c r="D212" s="69"/>
      <c r="E212" s="73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</row>
    <row r="213" spans="1:31" s="48" customFormat="1" ht="15.75" x14ac:dyDescent="0.25">
      <c r="A213" s="82"/>
      <c r="B213" s="58" t="s">
        <v>14</v>
      </c>
      <c r="C213" s="58" t="s">
        <v>13</v>
      </c>
      <c r="D213" s="76" t="s">
        <v>202</v>
      </c>
      <c r="E213" s="62" t="s">
        <v>7</v>
      </c>
      <c r="F213" s="143" t="s">
        <v>103</v>
      </c>
      <c r="G213" s="143" t="s">
        <v>104</v>
      </c>
      <c r="H213" s="143" t="s">
        <v>105</v>
      </c>
      <c r="I213" s="143" t="s">
        <v>106</v>
      </c>
      <c r="J213" s="143" t="s">
        <v>107</v>
      </c>
      <c r="K213" s="143" t="s">
        <v>108</v>
      </c>
      <c r="L213" s="143" t="s">
        <v>109</v>
      </c>
      <c r="M213" s="143" t="s">
        <v>110</v>
      </c>
      <c r="N213" s="143" t="s">
        <v>111</v>
      </c>
      <c r="O213" s="143" t="s">
        <v>112</v>
      </c>
      <c r="P213" s="143" t="s">
        <v>113</v>
      </c>
      <c r="Q213" s="143" t="s">
        <v>114</v>
      </c>
      <c r="R213" s="143" t="s">
        <v>115</v>
      </c>
      <c r="S213" s="143" t="s">
        <v>116</v>
      </c>
      <c r="T213" s="143" t="s">
        <v>117</v>
      </c>
      <c r="U213" s="143" t="s">
        <v>118</v>
      </c>
      <c r="V213" s="143" t="s">
        <v>119</v>
      </c>
      <c r="W213" s="143" t="s">
        <v>120</v>
      </c>
      <c r="X213" s="143" t="s">
        <v>121</v>
      </c>
      <c r="Y213" s="143" t="s">
        <v>122</v>
      </c>
      <c r="Z213" s="143" t="s">
        <v>123</v>
      </c>
      <c r="AA213" s="143" t="s">
        <v>124</v>
      </c>
      <c r="AB213" s="143" t="s">
        <v>125</v>
      </c>
      <c r="AC213" s="143" t="s">
        <v>126</v>
      </c>
      <c r="AD213" s="143" t="s">
        <v>127</v>
      </c>
      <c r="AE213" s="143" t="s">
        <v>153</v>
      </c>
    </row>
    <row r="214" spans="1:31" s="48" customFormat="1" x14ac:dyDescent="0.2">
      <c r="B214" s="172">
        <v>0</v>
      </c>
      <c r="C214" s="116" t="s">
        <v>15</v>
      </c>
      <c r="D214" s="236"/>
      <c r="E214" s="67" t="s">
        <v>35</v>
      </c>
      <c r="F214" s="131"/>
      <c r="G214" s="131">
        <v>520.05490132106411</v>
      </c>
      <c r="H214" s="131">
        <v>2764.6817318353355</v>
      </c>
      <c r="I214" s="131">
        <v>516.66385685059356</v>
      </c>
      <c r="J214" s="131">
        <v>118.48670719893533</v>
      </c>
      <c r="K214" s="131">
        <v>648.35873003326117</v>
      </c>
      <c r="L214" s="131">
        <v>784.41762682143587</v>
      </c>
      <c r="M214" s="131">
        <v>237.72461101542456</v>
      </c>
      <c r="N214" s="131">
        <v>7300.5117034694049</v>
      </c>
      <c r="O214" s="131">
        <v>7450776.4586457489</v>
      </c>
      <c r="P214" s="131">
        <v>280070229.18151587</v>
      </c>
      <c r="Q214" s="131">
        <v>258.96486344801451</v>
      </c>
      <c r="R214" s="131">
        <v>303617683.83499146</v>
      </c>
      <c r="S214" s="131">
        <v>485015376.71874654</v>
      </c>
      <c r="T214" s="131">
        <v>88662321.562725097</v>
      </c>
      <c r="U214" s="131">
        <v>226485849.26314056</v>
      </c>
      <c r="V214" s="131">
        <v>223533341.60995027</v>
      </c>
      <c r="W214" s="131">
        <v>980339453.49288905</v>
      </c>
      <c r="X214" s="131">
        <v>82670303.011684343</v>
      </c>
      <c r="Y214" s="131">
        <v>17669474.611082003</v>
      </c>
      <c r="Z214" s="131">
        <v>37772090.767697275</v>
      </c>
      <c r="AA214" s="131">
        <v>173443735.4760201</v>
      </c>
      <c r="AB214" s="131">
        <v>265073407.40118849</v>
      </c>
      <c r="AC214" s="131">
        <v>123119875.39037298</v>
      </c>
      <c r="AD214" s="131">
        <v>172444463.94662985</v>
      </c>
      <c r="AE214" s="131">
        <v>28824474.462872591</v>
      </c>
    </row>
    <row r="215" spans="1:31" s="48" customFormat="1" x14ac:dyDescent="0.2">
      <c r="B215" s="172">
        <v>1</v>
      </c>
      <c r="C215" s="115" t="s">
        <v>96</v>
      </c>
      <c r="D215" s="236"/>
      <c r="E215" s="67" t="s">
        <v>35</v>
      </c>
      <c r="F215" s="131"/>
      <c r="G215" s="131">
        <v>610.82443793412654</v>
      </c>
      <c r="H215" s="131">
        <v>3208.2406318396615</v>
      </c>
      <c r="I215" s="131">
        <v>627.32868400880818</v>
      </c>
      <c r="J215" s="131">
        <v>183.22628660294464</v>
      </c>
      <c r="K215" s="131">
        <v>772.37442536586957</v>
      </c>
      <c r="L215" s="131">
        <v>952.13567692452136</v>
      </c>
      <c r="M215" s="131">
        <v>365.73460721485685</v>
      </c>
      <c r="N215" s="131">
        <v>8294.0343030626136</v>
      </c>
      <c r="O215" s="131">
        <v>11954828.844400655</v>
      </c>
      <c r="P215" s="131">
        <v>178010324.03015167</v>
      </c>
      <c r="Q215" s="131">
        <v>587.83741055138285</v>
      </c>
      <c r="R215" s="131">
        <v>330503330.12426633</v>
      </c>
      <c r="S215" s="131">
        <v>498024553.50476885</v>
      </c>
      <c r="T215" s="131">
        <v>103438237.61218479</v>
      </c>
      <c r="U215" s="131">
        <v>221706661.69363534</v>
      </c>
      <c r="V215" s="131">
        <v>240748653.39444038</v>
      </c>
      <c r="W215" s="131">
        <v>1001097826.9036931</v>
      </c>
      <c r="X215" s="131">
        <v>77398356.583543599</v>
      </c>
      <c r="Y215" s="131">
        <v>15477339.113536533</v>
      </c>
      <c r="Z215" s="131">
        <v>44438415.5499973</v>
      </c>
      <c r="AA215" s="131">
        <v>177063245.45548317</v>
      </c>
      <c r="AB215" s="131">
        <v>264828804.24695691</v>
      </c>
      <c r="AC215" s="131">
        <v>120564474.2887312</v>
      </c>
      <c r="AD215" s="131">
        <v>166281459.49546543</v>
      </c>
      <c r="AE215" s="131">
        <v>26696383.757092722</v>
      </c>
    </row>
    <row r="216" spans="1:31" s="48" customFormat="1" x14ac:dyDescent="0.2">
      <c r="B216" s="172">
        <v>2</v>
      </c>
      <c r="C216" s="115" t="s">
        <v>97</v>
      </c>
      <c r="D216" s="236"/>
      <c r="E216" s="67" t="s">
        <v>35</v>
      </c>
      <c r="F216" s="131"/>
      <c r="G216" s="131">
        <v>610.82443793412654</v>
      </c>
      <c r="H216" s="131">
        <v>3208.2406318396615</v>
      </c>
      <c r="I216" s="131">
        <v>627.32868400880818</v>
      </c>
      <c r="J216" s="131">
        <v>183.22628660294464</v>
      </c>
      <c r="K216" s="131">
        <v>772.37442536586957</v>
      </c>
      <c r="L216" s="131">
        <v>952.13567692452136</v>
      </c>
      <c r="M216" s="131">
        <v>365.73460721485685</v>
      </c>
      <c r="N216" s="131">
        <v>8294.0343030626136</v>
      </c>
      <c r="O216" s="131">
        <v>11954828.844400655</v>
      </c>
      <c r="P216" s="131">
        <v>178010324.03015167</v>
      </c>
      <c r="Q216" s="131">
        <v>587.83741055138285</v>
      </c>
      <c r="R216" s="131">
        <v>330503330.12426633</v>
      </c>
      <c r="S216" s="131">
        <v>498024553.50476885</v>
      </c>
      <c r="T216" s="131">
        <v>103438237.61218479</v>
      </c>
      <c r="U216" s="131">
        <v>221706661.69363534</v>
      </c>
      <c r="V216" s="131">
        <v>240748653.39444038</v>
      </c>
      <c r="W216" s="131">
        <v>1001097826.9036931</v>
      </c>
      <c r="X216" s="131">
        <v>77398356.583543599</v>
      </c>
      <c r="Y216" s="131">
        <v>15477339.113536533</v>
      </c>
      <c r="Z216" s="131">
        <v>44438415.5499973</v>
      </c>
      <c r="AA216" s="131">
        <v>177063245.45548317</v>
      </c>
      <c r="AB216" s="131">
        <v>264828804.24695691</v>
      </c>
      <c r="AC216" s="131">
        <v>120564474.2887312</v>
      </c>
      <c r="AD216" s="131">
        <v>166281459.49546543</v>
      </c>
      <c r="AE216" s="131">
        <v>26696383.757092722</v>
      </c>
    </row>
    <row r="217" spans="1:31" s="48" customFormat="1" x14ac:dyDescent="0.2">
      <c r="B217" s="172">
        <v>3</v>
      </c>
      <c r="C217" s="115" t="s">
        <v>98</v>
      </c>
      <c r="D217" s="236"/>
      <c r="E217" s="67" t="s">
        <v>35</v>
      </c>
      <c r="F217" s="131"/>
      <c r="G217" s="131">
        <v>413.02066986034231</v>
      </c>
      <c r="H217" s="131">
        <v>2166.3965130422375</v>
      </c>
      <c r="I217" s="131">
        <v>435.31780351250239</v>
      </c>
      <c r="J217" s="131">
        <v>96.504067309769283</v>
      </c>
      <c r="K217" s="131">
        <v>525.05129293820744</v>
      </c>
      <c r="L217" s="131">
        <v>644.69008445815359</v>
      </c>
      <c r="M217" s="131">
        <v>216.68991823251861</v>
      </c>
      <c r="N217" s="131">
        <v>5872.3904418737493</v>
      </c>
      <c r="O217" s="131">
        <v>12497618.040423118</v>
      </c>
      <c r="P217" s="131">
        <v>176561748.76710102</v>
      </c>
      <c r="Q217" s="131">
        <v>260.06190025804608</v>
      </c>
      <c r="R217" s="131">
        <v>328991215.01494724</v>
      </c>
      <c r="S217" s="131">
        <v>499106635.97822523</v>
      </c>
      <c r="T217" s="131">
        <v>104709305.57162993</v>
      </c>
      <c r="U217" s="131">
        <v>220474752.11648867</v>
      </c>
      <c r="V217" s="131">
        <v>241716760.64425611</v>
      </c>
      <c r="W217" s="131">
        <v>998874436.03864789</v>
      </c>
      <c r="X217" s="131">
        <v>77450383.912219018</v>
      </c>
      <c r="Y217" s="131">
        <v>15340544.826469302</v>
      </c>
      <c r="Z217" s="131">
        <v>45174862.705662742</v>
      </c>
      <c r="AA217" s="131">
        <v>176189474.43340039</v>
      </c>
      <c r="AB217" s="131">
        <v>265451456.9190436</v>
      </c>
      <c r="AC217" s="131">
        <v>120164673.83632298</v>
      </c>
      <c r="AD217" s="131">
        <v>166365652.75179011</v>
      </c>
      <c r="AE217" s="131">
        <v>26628496.336148407</v>
      </c>
    </row>
    <row r="218" spans="1:31" s="48" customFormat="1" x14ac:dyDescent="0.2">
      <c r="B218" s="172">
        <v>4</v>
      </c>
      <c r="C218" s="115" t="s">
        <v>99</v>
      </c>
      <c r="D218" s="236"/>
      <c r="E218" s="67" t="s">
        <v>35</v>
      </c>
      <c r="F218" s="131"/>
      <c r="G218" s="131">
        <v>683.65256021826826</v>
      </c>
      <c r="H218" s="131">
        <v>3564.2197853726984</v>
      </c>
      <c r="I218" s="131">
        <v>692.43543694238792</v>
      </c>
      <c r="J218" s="131">
        <v>152.89013846110251</v>
      </c>
      <c r="K218" s="131">
        <v>832.81588867786388</v>
      </c>
      <c r="L218" s="131">
        <v>991.07428716117022</v>
      </c>
      <c r="M218" s="131">
        <v>299.99756424824091</v>
      </c>
      <c r="N218" s="131">
        <v>9180.1834928509616</v>
      </c>
      <c r="O218" s="131">
        <v>7563540.0735898521</v>
      </c>
      <c r="P218" s="131">
        <v>268149793.06297246</v>
      </c>
      <c r="Q218" s="131">
        <v>339.40740720687353</v>
      </c>
      <c r="R218" s="131">
        <v>305115383.48235685</v>
      </c>
      <c r="S218" s="131">
        <v>484892970.59247959</v>
      </c>
      <c r="T218" s="131">
        <v>90547810.96441929</v>
      </c>
      <c r="U218" s="131">
        <v>225553326.18468565</v>
      </c>
      <c r="V218" s="131">
        <v>224433007.38925573</v>
      </c>
      <c r="W218" s="131">
        <v>985725402.01920402</v>
      </c>
      <c r="X218" s="131">
        <v>81633994.499813616</v>
      </c>
      <c r="Y218" s="131">
        <v>17815982.10144835</v>
      </c>
      <c r="Z218" s="131">
        <v>40424151.247905158</v>
      </c>
      <c r="AA218" s="131">
        <v>174042732.14396459</v>
      </c>
      <c r="AB218" s="131">
        <v>264991572.67699218</v>
      </c>
      <c r="AC218" s="131">
        <v>122331451.93394323</v>
      </c>
      <c r="AD218" s="131">
        <v>172864035.00135183</v>
      </c>
      <c r="AE218" s="131">
        <v>28688575.950456236</v>
      </c>
    </row>
    <row r="219" spans="1:31" s="48" customFormat="1" x14ac:dyDescent="0.2">
      <c r="B219" s="172">
        <v>5</v>
      </c>
      <c r="C219" s="115" t="s">
        <v>100</v>
      </c>
      <c r="D219" s="236"/>
      <c r="E219" s="67" t="s">
        <v>35</v>
      </c>
      <c r="F219" s="178" t="s">
        <v>240</v>
      </c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</row>
    <row r="220" spans="1:31" s="48" customFormat="1" x14ac:dyDescent="0.2">
      <c r="B220" s="172">
        <v>6</v>
      </c>
      <c r="C220" s="115" t="s">
        <v>174</v>
      </c>
      <c r="D220" s="236"/>
      <c r="E220" s="67" t="s">
        <v>35</v>
      </c>
      <c r="F220" s="178" t="s">
        <v>240</v>
      </c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</row>
    <row r="221" spans="1:31" s="48" customFormat="1" x14ac:dyDescent="0.2">
      <c r="A221" s="82"/>
      <c r="B221" s="64"/>
      <c r="C221" s="72"/>
      <c r="D221" s="69"/>
      <c r="E221" s="73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</row>
    <row r="222" spans="1:31" s="48" customFormat="1" x14ac:dyDescent="0.2">
      <c r="A222" s="82"/>
      <c r="B222" s="64"/>
      <c r="C222" s="72"/>
      <c r="D222" s="69"/>
      <c r="E222" s="73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</row>
    <row r="223" spans="1:31" ht="15.75" x14ac:dyDescent="0.25">
      <c r="B223" s="57" t="s">
        <v>27</v>
      </c>
      <c r="C223" s="57"/>
      <c r="D223" s="109"/>
      <c r="E223" s="108" t="s">
        <v>28</v>
      </c>
      <c r="F223" s="109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</row>
    <row r="224" spans="1:31" s="48" customFormat="1" ht="15.75" x14ac:dyDescent="0.25">
      <c r="A224" s="82"/>
      <c r="B224" s="111"/>
      <c r="C224" s="111"/>
      <c r="D224" s="113"/>
      <c r="E224" s="112"/>
      <c r="F224" s="113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51"/>
    </row>
    <row r="225" spans="1:31" ht="15.75" x14ac:dyDescent="0.25">
      <c r="B225" s="58" t="s">
        <v>14</v>
      </c>
      <c r="C225" s="58" t="s">
        <v>13</v>
      </c>
      <c r="D225" s="76" t="s">
        <v>93</v>
      </c>
      <c r="E225" s="62" t="s">
        <v>7</v>
      </c>
      <c r="F225" s="143" t="s">
        <v>103</v>
      </c>
      <c r="G225" s="143" t="s">
        <v>104</v>
      </c>
      <c r="H225" s="143" t="s">
        <v>105</v>
      </c>
      <c r="I225" s="143" t="s">
        <v>106</v>
      </c>
      <c r="J225" s="143" t="s">
        <v>107</v>
      </c>
      <c r="K225" s="143" t="s">
        <v>108</v>
      </c>
      <c r="L225" s="143" t="s">
        <v>109</v>
      </c>
      <c r="M225" s="143" t="s">
        <v>110</v>
      </c>
      <c r="N225" s="143" t="s">
        <v>111</v>
      </c>
      <c r="O225" s="143" t="s">
        <v>112</v>
      </c>
      <c r="P225" s="143" t="s">
        <v>113</v>
      </c>
      <c r="Q225" s="143" t="s">
        <v>114</v>
      </c>
      <c r="R225" s="143" t="s">
        <v>115</v>
      </c>
      <c r="S225" s="143" t="s">
        <v>116</v>
      </c>
      <c r="T225" s="143" t="s">
        <v>117</v>
      </c>
      <c r="U225" s="143" t="s">
        <v>118</v>
      </c>
      <c r="V225" s="143" t="s">
        <v>119</v>
      </c>
      <c r="W225" s="143" t="s">
        <v>120</v>
      </c>
      <c r="X225" s="143" t="s">
        <v>121</v>
      </c>
      <c r="Y225" s="143" t="s">
        <v>122</v>
      </c>
      <c r="Z225" s="143" t="s">
        <v>123</v>
      </c>
      <c r="AA225" s="143" t="s">
        <v>124</v>
      </c>
      <c r="AB225" s="143" t="s">
        <v>125</v>
      </c>
      <c r="AC225" s="143" t="s">
        <v>126</v>
      </c>
      <c r="AD225" s="143" t="s">
        <v>127</v>
      </c>
      <c r="AE225" s="143" t="s">
        <v>153</v>
      </c>
    </row>
    <row r="226" spans="1:31" x14ac:dyDescent="0.2">
      <c r="A226" s="48"/>
      <c r="B226" s="172">
        <v>0</v>
      </c>
      <c r="C226" s="116" t="s">
        <v>15</v>
      </c>
      <c r="D226" s="236"/>
      <c r="E226" s="67" t="s">
        <v>35</v>
      </c>
      <c r="F226" s="131"/>
      <c r="G226" s="131">
        <v>2529072131.5889401</v>
      </c>
      <c r="H226" s="131">
        <v>2174466356.641181</v>
      </c>
      <c r="I226" s="131">
        <v>2350334089.7349501</v>
      </c>
      <c r="J226" s="131">
        <v>2274696640.7772412</v>
      </c>
      <c r="K226" s="131">
        <v>2212029955.0238218</v>
      </c>
      <c r="L226" s="131">
        <v>2217327716.5066056</v>
      </c>
      <c r="M226" s="131">
        <v>2223967650.8729534</v>
      </c>
      <c r="N226" s="131">
        <v>2186210071.0170422</v>
      </c>
      <c r="O226" s="131">
        <v>2227225883.1561732</v>
      </c>
      <c r="P226" s="131">
        <v>2266678769.4803443</v>
      </c>
      <c r="Q226" s="131">
        <v>2224414399.4076915</v>
      </c>
      <c r="R226" s="131">
        <v>2297115492.0439763</v>
      </c>
      <c r="S226" s="131">
        <v>2438298948.4580445</v>
      </c>
      <c r="T226" s="131">
        <v>2263771568.3810663</v>
      </c>
      <c r="U226" s="131">
        <v>1993034445.6760304</v>
      </c>
      <c r="V226" s="131">
        <v>1628155453.3130009</v>
      </c>
      <c r="W226" s="131">
        <v>1549736550.6995125</v>
      </c>
      <c r="X226" s="131">
        <v>1606418847.620683</v>
      </c>
      <c r="Y226" s="131">
        <v>1645810947.0717826</v>
      </c>
      <c r="Z226" s="131">
        <v>1487291288.1114845</v>
      </c>
      <c r="AA226" s="131">
        <v>1702380548.9496531</v>
      </c>
      <c r="AB226" s="131">
        <v>2066055943.7329912</v>
      </c>
      <c r="AC226" s="131">
        <v>1962754950.1021149</v>
      </c>
      <c r="AD226" s="131">
        <v>1493970954.1531434</v>
      </c>
      <c r="AE226" s="131">
        <v>1360903998.6668005</v>
      </c>
    </row>
    <row r="227" spans="1:31" x14ac:dyDescent="0.2">
      <c r="A227" s="48"/>
      <c r="B227" s="172">
        <v>1</v>
      </c>
      <c r="C227" s="115" t="s">
        <v>96</v>
      </c>
      <c r="D227" s="236"/>
      <c r="E227" s="67" t="s">
        <v>35</v>
      </c>
      <c r="F227" s="131"/>
      <c r="G227" s="131">
        <v>2529077477.9130726</v>
      </c>
      <c r="H227" s="131">
        <v>2174988812.9082322</v>
      </c>
      <c r="I227" s="131">
        <v>2350887547.6674185</v>
      </c>
      <c r="J227" s="131">
        <v>2267179888.592958</v>
      </c>
      <c r="K227" s="131">
        <v>2194423990.1407866</v>
      </c>
      <c r="L227" s="131">
        <v>2198691975.4956307</v>
      </c>
      <c r="M227" s="131">
        <v>2201966150.6885242</v>
      </c>
      <c r="N227" s="131">
        <v>2177247990.175663</v>
      </c>
      <c r="O227" s="131">
        <v>2219090809.8369403</v>
      </c>
      <c r="P227" s="131">
        <v>2260162261.8981514</v>
      </c>
      <c r="Q227" s="131">
        <v>2216743251.4943089</v>
      </c>
      <c r="R227" s="131">
        <v>2287517806.7507415</v>
      </c>
      <c r="S227" s="131">
        <v>2429618192.3689857</v>
      </c>
      <c r="T227" s="131">
        <v>2262119813.7515211</v>
      </c>
      <c r="U227" s="131">
        <v>1994156661.7981369</v>
      </c>
      <c r="V227" s="131">
        <v>1628382114.5353072</v>
      </c>
      <c r="W227" s="131">
        <v>1550149790.7117817</v>
      </c>
      <c r="X227" s="131">
        <v>1610575678.3067439</v>
      </c>
      <c r="Y227" s="131">
        <v>1648394886.4383852</v>
      </c>
      <c r="Z227" s="131">
        <v>1488092648.7486048</v>
      </c>
      <c r="AA227" s="131">
        <v>1697725676.101367</v>
      </c>
      <c r="AB227" s="131">
        <v>2070718772.8173759</v>
      </c>
      <c r="AC227" s="131">
        <v>1968765789.9058142</v>
      </c>
      <c r="AD227" s="131">
        <v>1496549593.6149087</v>
      </c>
      <c r="AE227" s="131">
        <v>1365517899.6771758</v>
      </c>
    </row>
    <row r="228" spans="1:31" x14ac:dyDescent="0.2">
      <c r="A228" s="48"/>
      <c r="B228" s="172">
        <v>2</v>
      </c>
      <c r="C228" s="115" t="s">
        <v>97</v>
      </c>
      <c r="D228" s="236"/>
      <c r="E228" s="67" t="s">
        <v>35</v>
      </c>
      <c r="F228" s="131"/>
      <c r="G228" s="131">
        <v>2529077477.9130726</v>
      </c>
      <c r="H228" s="131">
        <v>2174988812.9082322</v>
      </c>
      <c r="I228" s="131">
        <v>2350887547.6674185</v>
      </c>
      <c r="J228" s="131">
        <v>2267179888.592958</v>
      </c>
      <c r="K228" s="131">
        <v>2194423990.1407866</v>
      </c>
      <c r="L228" s="131">
        <v>2198691975.4956307</v>
      </c>
      <c r="M228" s="131">
        <v>2201966150.6885242</v>
      </c>
      <c r="N228" s="131">
        <v>2177247990.175663</v>
      </c>
      <c r="O228" s="131">
        <v>2219090809.8369403</v>
      </c>
      <c r="P228" s="131">
        <v>2260162261.8981514</v>
      </c>
      <c r="Q228" s="131">
        <v>2216743251.4943089</v>
      </c>
      <c r="R228" s="131">
        <v>2287517806.7507415</v>
      </c>
      <c r="S228" s="131">
        <v>2429618192.3689857</v>
      </c>
      <c r="T228" s="131">
        <v>2262119813.7515211</v>
      </c>
      <c r="U228" s="131">
        <v>1994156661.7981369</v>
      </c>
      <c r="V228" s="131">
        <v>1628382114.5353072</v>
      </c>
      <c r="W228" s="131">
        <v>1550149790.7117817</v>
      </c>
      <c r="X228" s="131">
        <v>1610575678.3067439</v>
      </c>
      <c r="Y228" s="131">
        <v>1648394886.4383852</v>
      </c>
      <c r="Z228" s="131">
        <v>1488092648.7486048</v>
      </c>
      <c r="AA228" s="131">
        <v>1697725676.101367</v>
      </c>
      <c r="AB228" s="131">
        <v>2070718772.8173759</v>
      </c>
      <c r="AC228" s="131">
        <v>1968765789.9058142</v>
      </c>
      <c r="AD228" s="131">
        <v>1496549593.6149087</v>
      </c>
      <c r="AE228" s="131">
        <v>1365517899.6771758</v>
      </c>
    </row>
    <row r="229" spans="1:31" x14ac:dyDescent="0.2">
      <c r="A229" s="48"/>
      <c r="B229" s="172">
        <v>3</v>
      </c>
      <c r="C229" s="115" t="s">
        <v>98</v>
      </c>
      <c r="D229" s="236"/>
      <c r="E229" s="67" t="s">
        <v>35</v>
      </c>
      <c r="F229" s="131"/>
      <c r="G229" s="131">
        <v>2529080798.6068239</v>
      </c>
      <c r="H229" s="131">
        <v>2174995457.699883</v>
      </c>
      <c r="I229" s="131">
        <v>2350888798.3590131</v>
      </c>
      <c r="J229" s="131">
        <v>2266862398.6741776</v>
      </c>
      <c r="K229" s="131">
        <v>2193549749.7548099</v>
      </c>
      <c r="L229" s="131">
        <v>2197758580.9348469</v>
      </c>
      <c r="M229" s="131">
        <v>2200994146.3068595</v>
      </c>
      <c r="N229" s="131">
        <v>2176765578.6284685</v>
      </c>
      <c r="O229" s="131">
        <v>2218713296.6989307</v>
      </c>
      <c r="P229" s="131">
        <v>2259866883.7375016</v>
      </c>
      <c r="Q229" s="131">
        <v>2216548281.3879528</v>
      </c>
      <c r="R229" s="131">
        <v>2286915934.1516876</v>
      </c>
      <c r="S229" s="131">
        <v>2429182840.9722877</v>
      </c>
      <c r="T229" s="131">
        <v>2261007251.9615145</v>
      </c>
      <c r="U229" s="131">
        <v>1993789297.4163647</v>
      </c>
      <c r="V229" s="131">
        <v>1627736119.540216</v>
      </c>
      <c r="W229" s="131">
        <v>1549223804.0318375</v>
      </c>
      <c r="X229" s="131">
        <v>1609320067.9482944</v>
      </c>
      <c r="Y229" s="131">
        <v>1647314878.1641686</v>
      </c>
      <c r="Z229" s="131">
        <v>1487217172.5784016</v>
      </c>
      <c r="AA229" s="131">
        <v>1697484515.22524</v>
      </c>
      <c r="AB229" s="131">
        <v>2068139453.8427858</v>
      </c>
      <c r="AC229" s="131">
        <v>1967054096.3831718</v>
      </c>
      <c r="AD229" s="131">
        <v>1495040989.9604881</v>
      </c>
      <c r="AE229" s="131">
        <v>1364259201.8995235</v>
      </c>
    </row>
    <row r="230" spans="1:31" x14ac:dyDescent="0.2">
      <c r="A230" s="48"/>
      <c r="B230" s="172">
        <v>4</v>
      </c>
      <c r="C230" s="115" t="s">
        <v>99</v>
      </c>
      <c r="D230" s="236"/>
      <c r="E230" s="67" t="s">
        <v>35</v>
      </c>
      <c r="F230" s="131"/>
      <c r="G230" s="131">
        <v>2529071601.8729343</v>
      </c>
      <c r="H230" s="131">
        <v>2174590456.6091199</v>
      </c>
      <c r="I230" s="131">
        <v>2348832589.8358965</v>
      </c>
      <c r="J230" s="131">
        <v>2272441644.0802412</v>
      </c>
      <c r="K230" s="131">
        <v>2209808726.9530954</v>
      </c>
      <c r="L230" s="131">
        <v>2214867776.2568007</v>
      </c>
      <c r="M230" s="131">
        <v>2221219573.4279556</v>
      </c>
      <c r="N230" s="131">
        <v>2184342182.324975</v>
      </c>
      <c r="O230" s="131">
        <v>2225293507.2695141</v>
      </c>
      <c r="P230" s="131">
        <v>2264901303.6641188</v>
      </c>
      <c r="Q230" s="131">
        <v>2222440241.0734539</v>
      </c>
      <c r="R230" s="131">
        <v>2295122898.3577585</v>
      </c>
      <c r="S230" s="131">
        <v>2436756446.0179791</v>
      </c>
      <c r="T230" s="131">
        <v>2263606068.7922602</v>
      </c>
      <c r="U230" s="131">
        <v>1993376404.9649544</v>
      </c>
      <c r="V230" s="131">
        <v>1627851219.1256454</v>
      </c>
      <c r="W230" s="131">
        <v>1550039242.8539987</v>
      </c>
      <c r="X230" s="131">
        <v>1607353743.8415668</v>
      </c>
      <c r="Y230" s="131">
        <v>1646409409.6223772</v>
      </c>
      <c r="Z230" s="131">
        <v>1487446720.8125727</v>
      </c>
      <c r="AA230" s="131">
        <v>1702001536.2640438</v>
      </c>
      <c r="AB230" s="131">
        <v>2067218142.4872794</v>
      </c>
      <c r="AC230" s="131">
        <v>1965195588.8538866</v>
      </c>
      <c r="AD230" s="131">
        <v>1494322920.2852662</v>
      </c>
      <c r="AE230" s="131">
        <v>1362450733.6407764</v>
      </c>
    </row>
    <row r="231" spans="1:31" x14ac:dyDescent="0.2">
      <c r="A231" s="48"/>
      <c r="B231" s="172">
        <v>5</v>
      </c>
      <c r="C231" s="115" t="s">
        <v>100</v>
      </c>
      <c r="D231" s="236"/>
      <c r="E231" s="67" t="s">
        <v>35</v>
      </c>
      <c r="F231" s="178" t="s">
        <v>240</v>
      </c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</row>
    <row r="232" spans="1:31" x14ac:dyDescent="0.2">
      <c r="A232" s="48"/>
      <c r="B232" s="172">
        <v>6</v>
      </c>
      <c r="C232" s="115" t="s">
        <v>174</v>
      </c>
      <c r="D232" s="236"/>
      <c r="E232" s="67" t="s">
        <v>35</v>
      </c>
      <c r="F232" s="178" t="s">
        <v>240</v>
      </c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</row>
    <row r="233" spans="1:31" x14ac:dyDescent="0.2">
      <c r="E233" s="65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</row>
    <row r="234" spans="1:31" ht="15.75" x14ac:dyDescent="0.25">
      <c r="B234" s="58" t="s">
        <v>14</v>
      </c>
      <c r="C234" s="58" t="s">
        <v>13</v>
      </c>
      <c r="D234" s="76" t="s">
        <v>151</v>
      </c>
      <c r="E234" s="62" t="s">
        <v>7</v>
      </c>
      <c r="F234" s="143" t="s">
        <v>103</v>
      </c>
      <c r="G234" s="143" t="s">
        <v>104</v>
      </c>
      <c r="H234" s="143" t="s">
        <v>105</v>
      </c>
      <c r="I234" s="143" t="s">
        <v>106</v>
      </c>
      <c r="J234" s="143" t="s">
        <v>107</v>
      </c>
      <c r="K234" s="143" t="s">
        <v>108</v>
      </c>
      <c r="L234" s="143" t="s">
        <v>109</v>
      </c>
      <c r="M234" s="143" t="s">
        <v>110</v>
      </c>
      <c r="N234" s="143" t="s">
        <v>111</v>
      </c>
      <c r="O234" s="143" t="s">
        <v>112</v>
      </c>
      <c r="P234" s="143" t="s">
        <v>113</v>
      </c>
      <c r="Q234" s="143" t="s">
        <v>114</v>
      </c>
      <c r="R234" s="143" t="s">
        <v>115</v>
      </c>
      <c r="S234" s="143" t="s">
        <v>116</v>
      </c>
      <c r="T234" s="143" t="s">
        <v>117</v>
      </c>
      <c r="U234" s="143" t="s">
        <v>118</v>
      </c>
      <c r="V234" s="143" t="s">
        <v>119</v>
      </c>
      <c r="W234" s="143" t="s">
        <v>120</v>
      </c>
      <c r="X234" s="143" t="s">
        <v>121</v>
      </c>
      <c r="Y234" s="143" t="s">
        <v>122</v>
      </c>
      <c r="Z234" s="143" t="s">
        <v>123</v>
      </c>
      <c r="AA234" s="143" t="s">
        <v>124</v>
      </c>
      <c r="AB234" s="143" t="s">
        <v>125</v>
      </c>
      <c r="AC234" s="143" t="s">
        <v>126</v>
      </c>
      <c r="AD234" s="143" t="s">
        <v>127</v>
      </c>
      <c r="AE234" s="143" t="s">
        <v>153</v>
      </c>
    </row>
    <row r="235" spans="1:31" x14ac:dyDescent="0.2">
      <c r="A235" s="48"/>
      <c r="B235" s="172">
        <v>0</v>
      </c>
      <c r="C235" s="116" t="s">
        <v>15</v>
      </c>
      <c r="D235" s="236"/>
      <c r="E235" s="67" t="s">
        <v>35</v>
      </c>
      <c r="F235" s="131"/>
      <c r="G235" s="131">
        <v>2966260014.1266541</v>
      </c>
      <c r="H235" s="131">
        <v>1980578983.665508</v>
      </c>
      <c r="I235" s="131">
        <v>1953778823.1297979</v>
      </c>
      <c r="J235" s="131">
        <v>1820673608.9251981</v>
      </c>
      <c r="K235" s="131">
        <v>1629561075.0328176</v>
      </c>
      <c r="L235" s="131">
        <v>1254444102.3061254</v>
      </c>
      <c r="M235" s="131">
        <v>1155142948.2980325</v>
      </c>
      <c r="N235" s="131">
        <v>1149249126.5797138</v>
      </c>
      <c r="O235" s="131">
        <v>1117939068.4464459</v>
      </c>
      <c r="P235" s="131">
        <v>1172800871.7016768</v>
      </c>
      <c r="Q235" s="131">
        <v>1094879841.3947105</v>
      </c>
      <c r="R235" s="131">
        <v>1081128412.3131897</v>
      </c>
      <c r="S235" s="131">
        <v>1226999399.6871443</v>
      </c>
      <c r="T235" s="131">
        <v>1084562186.9459457</v>
      </c>
      <c r="U235" s="131">
        <v>848727111.73531795</v>
      </c>
      <c r="V235" s="131">
        <v>732250777.59624088</v>
      </c>
      <c r="W235" s="131">
        <v>686191772.59141266</v>
      </c>
      <c r="X235" s="131">
        <v>709203570.286291</v>
      </c>
      <c r="Y235" s="131">
        <v>733300253.35662949</v>
      </c>
      <c r="Z235" s="131">
        <v>725339518.2850498</v>
      </c>
      <c r="AA235" s="131">
        <v>706325973.19035733</v>
      </c>
      <c r="AB235" s="131">
        <v>679320561.13365161</v>
      </c>
      <c r="AC235" s="131">
        <v>664928393.60919476</v>
      </c>
      <c r="AD235" s="131">
        <v>529038743.64574039</v>
      </c>
      <c r="AE235" s="131">
        <v>430369129.19204295</v>
      </c>
    </row>
    <row r="236" spans="1:31" x14ac:dyDescent="0.2">
      <c r="A236" s="48"/>
      <c r="B236" s="172">
        <v>1</v>
      </c>
      <c r="C236" s="115" t="s">
        <v>96</v>
      </c>
      <c r="D236" s="236"/>
      <c r="E236" s="67" t="s">
        <v>35</v>
      </c>
      <c r="F236" s="131"/>
      <c r="G236" s="131">
        <v>2962746964.6355691</v>
      </c>
      <c r="H236" s="131">
        <v>1976475431.595669</v>
      </c>
      <c r="I236" s="131">
        <v>1952070095.6455879</v>
      </c>
      <c r="J236" s="131">
        <v>1816583355.7011042</v>
      </c>
      <c r="K236" s="131">
        <v>1616394502.5109274</v>
      </c>
      <c r="L236" s="131">
        <v>1256418912.5245631</v>
      </c>
      <c r="M236" s="131">
        <v>1155618822.5893896</v>
      </c>
      <c r="N236" s="131">
        <v>1151010779.2705429</v>
      </c>
      <c r="O236" s="131">
        <v>1108793465.2962432</v>
      </c>
      <c r="P236" s="131">
        <v>1148662062.7081392</v>
      </c>
      <c r="Q236" s="131">
        <v>1071805407.5847148</v>
      </c>
      <c r="R236" s="131">
        <v>1061873738.6862611</v>
      </c>
      <c r="S236" s="131">
        <v>1201520839.4075625</v>
      </c>
      <c r="T236" s="131">
        <v>1057394592.7643526</v>
      </c>
      <c r="U236" s="131">
        <v>847903080.55181098</v>
      </c>
      <c r="V236" s="131">
        <v>734532465.87318671</v>
      </c>
      <c r="W236" s="131">
        <v>688434491.88439453</v>
      </c>
      <c r="X236" s="131">
        <v>709207897.81843877</v>
      </c>
      <c r="Y236" s="131">
        <v>736068954.94313586</v>
      </c>
      <c r="Z236" s="131">
        <v>730606878.1614486</v>
      </c>
      <c r="AA236" s="131">
        <v>708311449.35425568</v>
      </c>
      <c r="AB236" s="131">
        <v>683153887.33939946</v>
      </c>
      <c r="AC236" s="131">
        <v>666588375.0261215</v>
      </c>
      <c r="AD236" s="131">
        <v>530367164.44645172</v>
      </c>
      <c r="AE236" s="131">
        <v>431734594.10724157</v>
      </c>
    </row>
    <row r="237" spans="1:31" x14ac:dyDescent="0.2">
      <c r="A237" s="48"/>
      <c r="B237" s="172">
        <v>2</v>
      </c>
      <c r="C237" s="115" t="s">
        <v>97</v>
      </c>
      <c r="D237" s="236"/>
      <c r="E237" s="67" t="s">
        <v>35</v>
      </c>
      <c r="F237" s="131"/>
      <c r="G237" s="131">
        <v>2962746964.6355691</v>
      </c>
      <c r="H237" s="131">
        <v>1976475431.595669</v>
      </c>
      <c r="I237" s="131">
        <v>1952070095.6455879</v>
      </c>
      <c r="J237" s="131">
        <v>1816583355.7011042</v>
      </c>
      <c r="K237" s="131">
        <v>1616394502.5109274</v>
      </c>
      <c r="L237" s="131">
        <v>1256418912.5245631</v>
      </c>
      <c r="M237" s="131">
        <v>1155618822.5893896</v>
      </c>
      <c r="N237" s="131">
        <v>1151010779.2705429</v>
      </c>
      <c r="O237" s="131">
        <v>1108793465.2962432</v>
      </c>
      <c r="P237" s="131">
        <v>1148662062.7081392</v>
      </c>
      <c r="Q237" s="131">
        <v>1071805407.5847148</v>
      </c>
      <c r="R237" s="131">
        <v>1061873738.6862611</v>
      </c>
      <c r="S237" s="131">
        <v>1201520839.4075625</v>
      </c>
      <c r="T237" s="131">
        <v>1057394592.7643526</v>
      </c>
      <c r="U237" s="131">
        <v>847903080.55181098</v>
      </c>
      <c r="V237" s="131">
        <v>734532465.87318671</v>
      </c>
      <c r="W237" s="131">
        <v>688434491.88439453</v>
      </c>
      <c r="X237" s="131">
        <v>709207897.81843877</v>
      </c>
      <c r="Y237" s="131">
        <v>736068954.94313586</v>
      </c>
      <c r="Z237" s="131">
        <v>730606878.1614486</v>
      </c>
      <c r="AA237" s="131">
        <v>708311449.35425568</v>
      </c>
      <c r="AB237" s="131">
        <v>683153887.33939946</v>
      </c>
      <c r="AC237" s="131">
        <v>666588375.0261215</v>
      </c>
      <c r="AD237" s="131">
        <v>530367164.44645172</v>
      </c>
      <c r="AE237" s="131">
        <v>431734594.10724157</v>
      </c>
    </row>
    <row r="238" spans="1:31" x14ac:dyDescent="0.2">
      <c r="A238" s="48"/>
      <c r="B238" s="172">
        <v>3</v>
      </c>
      <c r="C238" s="115" t="s">
        <v>98</v>
      </c>
      <c r="D238" s="236"/>
      <c r="E238" s="67" t="s">
        <v>35</v>
      </c>
      <c r="F238" s="131"/>
      <c r="G238" s="131">
        <v>2962627891.9723482</v>
      </c>
      <c r="H238" s="131">
        <v>1976362272.4875348</v>
      </c>
      <c r="I238" s="131">
        <v>1952026118.6857364</v>
      </c>
      <c r="J238" s="131">
        <v>1815971364.2191901</v>
      </c>
      <c r="K238" s="131">
        <v>1614923497.5279355</v>
      </c>
      <c r="L238" s="131">
        <v>1254569547.5376279</v>
      </c>
      <c r="M238" s="131">
        <v>1153868651.4493327</v>
      </c>
      <c r="N238" s="131">
        <v>1150985610.1486671</v>
      </c>
      <c r="O238" s="131">
        <v>1108311334.8785658</v>
      </c>
      <c r="P238" s="131">
        <v>1148170843.8929296</v>
      </c>
      <c r="Q238" s="131">
        <v>1070608429.4541813</v>
      </c>
      <c r="R238" s="131">
        <v>1061217184.695081</v>
      </c>
      <c r="S238" s="131">
        <v>1201512417.7330036</v>
      </c>
      <c r="T238" s="131">
        <v>1057031174.0409945</v>
      </c>
      <c r="U238" s="131">
        <v>847329720.77883518</v>
      </c>
      <c r="V238" s="131">
        <v>734609806.74154913</v>
      </c>
      <c r="W238" s="131">
        <v>688547164.8769058</v>
      </c>
      <c r="X238" s="131">
        <v>709344611.45380747</v>
      </c>
      <c r="Y238" s="131">
        <v>736210208.63803983</v>
      </c>
      <c r="Z238" s="131">
        <v>731149852.4609791</v>
      </c>
      <c r="AA238" s="131">
        <v>708587840.00206232</v>
      </c>
      <c r="AB238" s="131">
        <v>682950429.1810801</v>
      </c>
      <c r="AC238" s="131">
        <v>666768984.45958102</v>
      </c>
      <c r="AD238" s="131">
        <v>530474052.97540903</v>
      </c>
      <c r="AE238" s="131">
        <v>431958144.69265193</v>
      </c>
    </row>
    <row r="239" spans="1:31" x14ac:dyDescent="0.2">
      <c r="A239" s="48"/>
      <c r="B239" s="172">
        <v>4</v>
      </c>
      <c r="C239" s="115" t="s">
        <v>99</v>
      </c>
      <c r="D239" s="236"/>
      <c r="E239" s="67" t="s">
        <v>35</v>
      </c>
      <c r="F239" s="131"/>
      <c r="G239" s="131">
        <v>2966495666.0186801</v>
      </c>
      <c r="H239" s="131">
        <v>1979622332.5201128</v>
      </c>
      <c r="I239" s="131">
        <v>1952918028.1909595</v>
      </c>
      <c r="J239" s="131">
        <v>1819754633.2202594</v>
      </c>
      <c r="K239" s="131">
        <v>1628583669.0465763</v>
      </c>
      <c r="L239" s="131">
        <v>1255386385.3974774</v>
      </c>
      <c r="M239" s="131">
        <v>1155398920.6361682</v>
      </c>
      <c r="N239" s="131">
        <v>1148843281.384531</v>
      </c>
      <c r="O239" s="131">
        <v>1117143611.3654625</v>
      </c>
      <c r="P239" s="131">
        <v>1170866875.9494331</v>
      </c>
      <c r="Q239" s="131">
        <v>1093295468.9105265</v>
      </c>
      <c r="R239" s="131">
        <v>1081115614.8081269</v>
      </c>
      <c r="S239" s="131">
        <v>1226951898.1771522</v>
      </c>
      <c r="T239" s="131">
        <v>1083924673.5091674</v>
      </c>
      <c r="U239" s="131">
        <v>848974483.27472341</v>
      </c>
      <c r="V239" s="131">
        <v>732286895.79559672</v>
      </c>
      <c r="W239" s="131">
        <v>686611227.17160332</v>
      </c>
      <c r="X239" s="131">
        <v>708830746.49724674</v>
      </c>
      <c r="Y239" s="131">
        <v>733829404.290115</v>
      </c>
      <c r="Z239" s="131">
        <v>725944053.43006659</v>
      </c>
      <c r="AA239" s="131">
        <v>706859390.81995416</v>
      </c>
      <c r="AB239" s="131">
        <v>679747589.84559774</v>
      </c>
      <c r="AC239" s="131">
        <v>665722374.88863146</v>
      </c>
      <c r="AD239" s="131">
        <v>529301925.41172087</v>
      </c>
      <c r="AE239" s="131">
        <v>430663008.35746962</v>
      </c>
    </row>
    <row r="240" spans="1:31" x14ac:dyDescent="0.2">
      <c r="A240" s="48"/>
      <c r="B240" s="172">
        <v>5</v>
      </c>
      <c r="C240" s="115" t="s">
        <v>100</v>
      </c>
      <c r="D240" s="236"/>
      <c r="E240" s="67" t="s">
        <v>35</v>
      </c>
      <c r="F240" s="178" t="s">
        <v>240</v>
      </c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</row>
    <row r="241" spans="1:31" x14ac:dyDescent="0.2">
      <c r="A241" s="48"/>
      <c r="B241" s="172">
        <v>6</v>
      </c>
      <c r="C241" s="115" t="s">
        <v>174</v>
      </c>
      <c r="D241" s="236"/>
      <c r="E241" s="67" t="s">
        <v>35</v>
      </c>
      <c r="F241" s="178" t="s">
        <v>240</v>
      </c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</row>
    <row r="242" spans="1:31" x14ac:dyDescent="0.2">
      <c r="E242" s="65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</row>
    <row r="243" spans="1:31" ht="15.75" x14ac:dyDescent="0.25">
      <c r="B243" s="58" t="s">
        <v>14</v>
      </c>
      <c r="C243" s="58" t="s">
        <v>13</v>
      </c>
      <c r="D243" s="76" t="s">
        <v>152</v>
      </c>
      <c r="E243" s="62" t="s">
        <v>7</v>
      </c>
      <c r="F243" s="143" t="s">
        <v>103</v>
      </c>
      <c r="G243" s="143" t="s">
        <v>104</v>
      </c>
      <c r="H243" s="143" t="s">
        <v>105</v>
      </c>
      <c r="I243" s="143" t="s">
        <v>106</v>
      </c>
      <c r="J243" s="143" t="s">
        <v>107</v>
      </c>
      <c r="K243" s="143" t="s">
        <v>108</v>
      </c>
      <c r="L243" s="143" t="s">
        <v>109</v>
      </c>
      <c r="M243" s="143" t="s">
        <v>110</v>
      </c>
      <c r="N243" s="143" t="s">
        <v>111</v>
      </c>
      <c r="O243" s="143" t="s">
        <v>112</v>
      </c>
      <c r="P243" s="143" t="s">
        <v>113</v>
      </c>
      <c r="Q243" s="143" t="s">
        <v>114</v>
      </c>
      <c r="R243" s="143" t="s">
        <v>115</v>
      </c>
      <c r="S243" s="143" t="s">
        <v>116</v>
      </c>
      <c r="T243" s="143" t="s">
        <v>117</v>
      </c>
      <c r="U243" s="143" t="s">
        <v>118</v>
      </c>
      <c r="V243" s="143" t="s">
        <v>119</v>
      </c>
      <c r="W243" s="143" t="s">
        <v>120</v>
      </c>
      <c r="X243" s="143" t="s">
        <v>121</v>
      </c>
      <c r="Y243" s="143" t="s">
        <v>122</v>
      </c>
      <c r="Z243" s="143" t="s">
        <v>123</v>
      </c>
      <c r="AA243" s="143" t="s">
        <v>124</v>
      </c>
      <c r="AB243" s="143" t="s">
        <v>125</v>
      </c>
      <c r="AC243" s="143" t="s">
        <v>126</v>
      </c>
      <c r="AD243" s="143" t="s">
        <v>127</v>
      </c>
      <c r="AE243" s="143" t="s">
        <v>153</v>
      </c>
    </row>
    <row r="244" spans="1:31" x14ac:dyDescent="0.2">
      <c r="A244" s="48"/>
      <c r="B244" s="172">
        <v>0</v>
      </c>
      <c r="C244" s="116" t="s">
        <v>15</v>
      </c>
      <c r="D244" s="236"/>
      <c r="E244" s="67" t="s">
        <v>35</v>
      </c>
      <c r="F244" s="131"/>
      <c r="G244" s="131">
        <v>2283525641.5920081</v>
      </c>
      <c r="H244" s="131">
        <v>2030606086.6432488</v>
      </c>
      <c r="I244" s="131">
        <v>2120708218.4198084</v>
      </c>
      <c r="J244" s="131">
        <v>1994188685.1406705</v>
      </c>
      <c r="K244" s="131">
        <v>1927683289.7553685</v>
      </c>
      <c r="L244" s="131">
        <v>1897114014.4918902</v>
      </c>
      <c r="M244" s="131">
        <v>1884557929.2399056</v>
      </c>
      <c r="N244" s="131">
        <v>1953531862.7575512</v>
      </c>
      <c r="O244" s="131">
        <v>1606195653.1337788</v>
      </c>
      <c r="P244" s="131">
        <v>1617911207.2290354</v>
      </c>
      <c r="Q244" s="131">
        <v>1558952824.580317</v>
      </c>
      <c r="R244" s="131">
        <v>1654652573.3887005</v>
      </c>
      <c r="S244" s="131">
        <v>1705218300.6302445</v>
      </c>
      <c r="T244" s="131">
        <v>1705917562.5480714</v>
      </c>
      <c r="U244" s="131">
        <v>1576282706.4835236</v>
      </c>
      <c r="V244" s="131">
        <v>1639905984.7206442</v>
      </c>
      <c r="W244" s="131">
        <v>1553211992.4036152</v>
      </c>
      <c r="X244" s="131">
        <v>1661600149.6202552</v>
      </c>
      <c r="Y244" s="131">
        <v>1640517555.26722</v>
      </c>
      <c r="Z244" s="131">
        <v>1583227658.7348201</v>
      </c>
      <c r="AA244" s="131">
        <v>1522016965.846488</v>
      </c>
      <c r="AB244" s="131">
        <v>1531001760.6745658</v>
      </c>
      <c r="AC244" s="131">
        <v>1482756048.8025775</v>
      </c>
      <c r="AD244" s="131">
        <v>1220938046.0413258</v>
      </c>
      <c r="AE244" s="131">
        <v>1158429356.7098913</v>
      </c>
    </row>
    <row r="245" spans="1:31" x14ac:dyDescent="0.2">
      <c r="A245" s="48"/>
      <c r="B245" s="172">
        <v>1</v>
      </c>
      <c r="C245" s="115" t="s">
        <v>96</v>
      </c>
      <c r="D245" s="236"/>
      <c r="E245" s="67" t="s">
        <v>35</v>
      </c>
      <c r="F245" s="131"/>
      <c r="G245" s="131">
        <v>2283524915.1731787</v>
      </c>
      <c r="H245" s="131">
        <v>2030605409.4389451</v>
      </c>
      <c r="I245" s="131">
        <v>2124062516.5195665</v>
      </c>
      <c r="J245" s="131">
        <v>1988390374.1442716</v>
      </c>
      <c r="K245" s="131">
        <v>1914432123.9062641</v>
      </c>
      <c r="L245" s="131">
        <v>1876166888.3584995</v>
      </c>
      <c r="M245" s="131">
        <v>1863896887.1662655</v>
      </c>
      <c r="N245" s="131">
        <v>1929876282.1508007</v>
      </c>
      <c r="O245" s="131">
        <v>1589238970.50085</v>
      </c>
      <c r="P245" s="131">
        <v>1599474246.8711667</v>
      </c>
      <c r="Q245" s="131">
        <v>1536607746.2376893</v>
      </c>
      <c r="R245" s="131">
        <v>1632098448.7126236</v>
      </c>
      <c r="S245" s="131">
        <v>1684141153.9299345</v>
      </c>
      <c r="T245" s="131">
        <v>1685888404.158438</v>
      </c>
      <c r="U245" s="131">
        <v>1565244769.5788841</v>
      </c>
      <c r="V245" s="131">
        <v>1625722904.4225554</v>
      </c>
      <c r="W245" s="131">
        <v>1547110452.6003852</v>
      </c>
      <c r="X245" s="131">
        <v>1655281110.7724345</v>
      </c>
      <c r="Y245" s="131">
        <v>1649822455.20876</v>
      </c>
      <c r="Z245" s="131">
        <v>1586529792.5639708</v>
      </c>
      <c r="AA245" s="131">
        <v>1523910913.2691424</v>
      </c>
      <c r="AB245" s="131">
        <v>1520268047.6749673</v>
      </c>
      <c r="AC245" s="131">
        <v>1473169244.9594336</v>
      </c>
      <c r="AD245" s="131">
        <v>1209695963.0969021</v>
      </c>
      <c r="AE245" s="131">
        <v>1135576776.8581748</v>
      </c>
    </row>
    <row r="246" spans="1:31" x14ac:dyDescent="0.2">
      <c r="A246" s="48"/>
      <c r="B246" s="172">
        <v>2</v>
      </c>
      <c r="C246" s="115" t="s">
        <v>97</v>
      </c>
      <c r="D246" s="236"/>
      <c r="E246" s="67" t="s">
        <v>35</v>
      </c>
      <c r="F246" s="131"/>
      <c r="G246" s="131">
        <v>2283524915.1731787</v>
      </c>
      <c r="H246" s="131">
        <v>2030605409.4389451</v>
      </c>
      <c r="I246" s="131">
        <v>2124062516.5195665</v>
      </c>
      <c r="J246" s="131">
        <v>1988390374.1442716</v>
      </c>
      <c r="K246" s="131">
        <v>1914432123.9062641</v>
      </c>
      <c r="L246" s="131">
        <v>1876166888.3584995</v>
      </c>
      <c r="M246" s="131">
        <v>1863896887.1662655</v>
      </c>
      <c r="N246" s="131">
        <v>1929876282.1508007</v>
      </c>
      <c r="O246" s="131">
        <v>1589238970.50085</v>
      </c>
      <c r="P246" s="131">
        <v>1599474246.8711667</v>
      </c>
      <c r="Q246" s="131">
        <v>1536607746.2376893</v>
      </c>
      <c r="R246" s="131">
        <v>1632098448.7126236</v>
      </c>
      <c r="S246" s="131">
        <v>1684141153.9299345</v>
      </c>
      <c r="T246" s="131">
        <v>1685888404.158438</v>
      </c>
      <c r="U246" s="131">
        <v>1565244769.5788841</v>
      </c>
      <c r="V246" s="131">
        <v>1625722904.4225554</v>
      </c>
      <c r="W246" s="131">
        <v>1547110452.6003852</v>
      </c>
      <c r="X246" s="131">
        <v>1655281110.7724345</v>
      </c>
      <c r="Y246" s="131">
        <v>1649822455.20876</v>
      </c>
      <c r="Z246" s="131">
        <v>1586529792.5639708</v>
      </c>
      <c r="AA246" s="131">
        <v>1523910913.2691424</v>
      </c>
      <c r="AB246" s="131">
        <v>1520268047.6749673</v>
      </c>
      <c r="AC246" s="131">
        <v>1473169244.9594336</v>
      </c>
      <c r="AD246" s="131">
        <v>1209695963.0969021</v>
      </c>
      <c r="AE246" s="131">
        <v>1135576776.8581748</v>
      </c>
    </row>
    <row r="247" spans="1:31" x14ac:dyDescent="0.2">
      <c r="A247" s="48"/>
      <c r="B247" s="172">
        <v>3</v>
      </c>
      <c r="C247" s="115" t="s">
        <v>98</v>
      </c>
      <c r="D247" s="236"/>
      <c r="E247" s="67" t="s">
        <v>35</v>
      </c>
      <c r="F247" s="131"/>
      <c r="G247" s="131">
        <v>2283520227.7169647</v>
      </c>
      <c r="H247" s="131">
        <v>2030601075.3736608</v>
      </c>
      <c r="I247" s="131">
        <v>2124056324.3818719</v>
      </c>
      <c r="J247" s="131">
        <v>1988069165.4795911</v>
      </c>
      <c r="K247" s="131">
        <v>1913693227.5730138</v>
      </c>
      <c r="L247" s="131">
        <v>1875170124.0970554</v>
      </c>
      <c r="M247" s="131">
        <v>1862879931.2517936</v>
      </c>
      <c r="N247" s="131">
        <v>1928971778.2227895</v>
      </c>
      <c r="O247" s="131">
        <v>1588633890.2229869</v>
      </c>
      <c r="P247" s="131">
        <v>1598684639.7657993</v>
      </c>
      <c r="Q247" s="131">
        <v>1535949652.1309705</v>
      </c>
      <c r="R247" s="131">
        <v>1631053328.3765178</v>
      </c>
      <c r="S247" s="131">
        <v>1683114471.758105</v>
      </c>
      <c r="T247" s="131">
        <v>1684906192.9044683</v>
      </c>
      <c r="U247" s="131">
        <v>1564766911.5688388</v>
      </c>
      <c r="V247" s="131">
        <v>1625144000.7127419</v>
      </c>
      <c r="W247" s="131">
        <v>1546992640.5005608</v>
      </c>
      <c r="X247" s="131">
        <v>1654780587.3777492</v>
      </c>
      <c r="Y247" s="131">
        <v>1649913551.7405143</v>
      </c>
      <c r="Z247" s="131">
        <v>1585784978.1164205</v>
      </c>
      <c r="AA247" s="131">
        <v>1522194209.7469406</v>
      </c>
      <c r="AB247" s="131">
        <v>1519280994.300571</v>
      </c>
      <c r="AC247" s="131">
        <v>1472870935.5813699</v>
      </c>
      <c r="AD247" s="131">
        <v>1209051141.9443562</v>
      </c>
      <c r="AE247" s="131">
        <v>1134619120.3014033</v>
      </c>
    </row>
    <row r="248" spans="1:31" x14ac:dyDescent="0.2">
      <c r="A248" s="48"/>
      <c r="B248" s="172">
        <v>4</v>
      </c>
      <c r="C248" s="115" t="s">
        <v>99</v>
      </c>
      <c r="D248" s="236"/>
      <c r="E248" s="67" t="s">
        <v>35</v>
      </c>
      <c r="F248" s="131"/>
      <c r="G248" s="131">
        <v>2283520578.3216028</v>
      </c>
      <c r="H248" s="131">
        <v>2030601373.2661901</v>
      </c>
      <c r="I248" s="131">
        <v>2120936867.1871443</v>
      </c>
      <c r="J248" s="131">
        <v>1993446486.289367</v>
      </c>
      <c r="K248" s="131">
        <v>1926883640.7764435</v>
      </c>
      <c r="L248" s="131">
        <v>1895922874.2798181</v>
      </c>
      <c r="M248" s="131">
        <v>1883424915.8635347</v>
      </c>
      <c r="N248" s="131">
        <v>1952442771.3249528</v>
      </c>
      <c r="O248" s="131">
        <v>1605334338.5523047</v>
      </c>
      <c r="P248" s="131">
        <v>1617044240.1482668</v>
      </c>
      <c r="Q248" s="131">
        <v>1557818410.9529345</v>
      </c>
      <c r="R248" s="131">
        <v>1653468482.4243386</v>
      </c>
      <c r="S248" s="131">
        <v>1704314278.3464055</v>
      </c>
      <c r="T248" s="131">
        <v>1705029314.2139542</v>
      </c>
      <c r="U248" s="131">
        <v>1573605223.203934</v>
      </c>
      <c r="V248" s="131">
        <v>1636894984.0508981</v>
      </c>
      <c r="W248" s="131">
        <v>1553764954.1845169</v>
      </c>
      <c r="X248" s="131">
        <v>1660167753.9596393</v>
      </c>
      <c r="Y248" s="131">
        <v>1640693478.0169706</v>
      </c>
      <c r="Z248" s="131">
        <v>1583416339.6235671</v>
      </c>
      <c r="AA248" s="131">
        <v>1521209845.3441725</v>
      </c>
      <c r="AB248" s="131">
        <v>1529120819.2750688</v>
      </c>
      <c r="AC248" s="131">
        <v>1481358892.4434958</v>
      </c>
      <c r="AD248" s="131">
        <v>1219000709.34356</v>
      </c>
      <c r="AE248" s="131">
        <v>1154954819.2702799</v>
      </c>
    </row>
    <row r="249" spans="1:31" x14ac:dyDescent="0.2">
      <c r="A249" s="48"/>
      <c r="B249" s="172">
        <v>5</v>
      </c>
      <c r="C249" s="115" t="s">
        <v>100</v>
      </c>
      <c r="D249" s="236"/>
      <c r="E249" s="67" t="s">
        <v>35</v>
      </c>
      <c r="F249" s="178" t="s">
        <v>240</v>
      </c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</row>
    <row r="250" spans="1:31" x14ac:dyDescent="0.2">
      <c r="A250" s="48"/>
      <c r="B250" s="172">
        <v>6</v>
      </c>
      <c r="C250" s="115" t="s">
        <v>174</v>
      </c>
      <c r="D250" s="236"/>
      <c r="E250" s="67" t="s">
        <v>35</v>
      </c>
      <c r="F250" s="178" t="s">
        <v>240</v>
      </c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</row>
    <row r="251" spans="1:31" x14ac:dyDescent="0.2">
      <c r="E251" s="65"/>
    </row>
    <row r="252" spans="1:31" ht="15.75" x14ac:dyDescent="0.25">
      <c r="B252" s="58" t="s">
        <v>14</v>
      </c>
      <c r="C252" s="58" t="s">
        <v>13</v>
      </c>
      <c r="D252" s="76" t="s">
        <v>202</v>
      </c>
      <c r="E252" s="62" t="s">
        <v>7</v>
      </c>
      <c r="F252" s="143" t="s">
        <v>103</v>
      </c>
      <c r="G252" s="143" t="s">
        <v>104</v>
      </c>
      <c r="H252" s="143" t="s">
        <v>105</v>
      </c>
      <c r="I252" s="143" t="s">
        <v>106</v>
      </c>
      <c r="J252" s="143" t="s">
        <v>107</v>
      </c>
      <c r="K252" s="143" t="s">
        <v>108</v>
      </c>
      <c r="L252" s="143" t="s">
        <v>109</v>
      </c>
      <c r="M252" s="143" t="s">
        <v>110</v>
      </c>
      <c r="N252" s="143" t="s">
        <v>111</v>
      </c>
      <c r="O252" s="143" t="s">
        <v>112</v>
      </c>
      <c r="P252" s="143" t="s">
        <v>113</v>
      </c>
      <c r="Q252" s="143" t="s">
        <v>114</v>
      </c>
      <c r="R252" s="143" t="s">
        <v>115</v>
      </c>
      <c r="S252" s="143" t="s">
        <v>116</v>
      </c>
      <c r="T252" s="143" t="s">
        <v>117</v>
      </c>
      <c r="U252" s="143" t="s">
        <v>118</v>
      </c>
      <c r="V252" s="143" t="s">
        <v>119</v>
      </c>
      <c r="W252" s="143" t="s">
        <v>120</v>
      </c>
      <c r="X252" s="143" t="s">
        <v>121</v>
      </c>
      <c r="Y252" s="143" t="s">
        <v>122</v>
      </c>
      <c r="Z252" s="143" t="s">
        <v>123</v>
      </c>
      <c r="AA252" s="143" t="s">
        <v>124</v>
      </c>
      <c r="AB252" s="143" t="s">
        <v>125</v>
      </c>
      <c r="AC252" s="143" t="s">
        <v>126</v>
      </c>
      <c r="AD252" s="143" t="s">
        <v>127</v>
      </c>
      <c r="AE252" s="143" t="s">
        <v>153</v>
      </c>
    </row>
    <row r="253" spans="1:31" x14ac:dyDescent="0.2">
      <c r="A253" s="48"/>
      <c r="B253" s="172">
        <v>0</v>
      </c>
      <c r="C253" s="116" t="s">
        <v>15</v>
      </c>
      <c r="D253" s="236"/>
      <c r="E253" s="67" t="s">
        <v>35</v>
      </c>
      <c r="F253" s="131"/>
      <c r="G253" s="131">
        <v>2462031087.9163594</v>
      </c>
      <c r="H253" s="131">
        <v>2081846016.1390579</v>
      </c>
      <c r="I253" s="131">
        <v>2189875617.8872919</v>
      </c>
      <c r="J253" s="131">
        <v>2111233155.8181207</v>
      </c>
      <c r="K253" s="131">
        <v>2091879071.2457769</v>
      </c>
      <c r="L253" s="131">
        <v>2036199738.1580753</v>
      </c>
      <c r="M253" s="131">
        <v>2064708836.4025736</v>
      </c>
      <c r="N253" s="131">
        <v>2130025653.2138739</v>
      </c>
      <c r="O253" s="131">
        <v>2125853609.9703517</v>
      </c>
      <c r="P253" s="131">
        <v>1984843861.1173038</v>
      </c>
      <c r="Q253" s="131">
        <v>1780044960.1773753</v>
      </c>
      <c r="R253" s="131">
        <v>1727216806.4337234</v>
      </c>
      <c r="S253" s="131">
        <v>1766892434.0284808</v>
      </c>
      <c r="T253" s="131">
        <v>1447761883.6844013</v>
      </c>
      <c r="U253" s="131">
        <v>1148471785.4650478</v>
      </c>
      <c r="V253" s="131">
        <v>1027139793.1942245</v>
      </c>
      <c r="W253" s="131">
        <v>1204703807.4026103</v>
      </c>
      <c r="X253" s="131">
        <v>1202318962.0875392</v>
      </c>
      <c r="Y253" s="131">
        <v>1236820629.5034726</v>
      </c>
      <c r="Z253" s="131">
        <v>1139882701.4614513</v>
      </c>
      <c r="AA253" s="131">
        <v>1190507176.4693177</v>
      </c>
      <c r="AB253" s="131">
        <v>1273028033.7060921</v>
      </c>
      <c r="AC253" s="131">
        <v>1212480505.8091805</v>
      </c>
      <c r="AD253" s="131">
        <v>859224362.8589505</v>
      </c>
      <c r="AE253" s="131">
        <v>785180848.38345039</v>
      </c>
    </row>
    <row r="254" spans="1:31" x14ac:dyDescent="0.2">
      <c r="A254" s="48"/>
      <c r="B254" s="172">
        <v>1</v>
      </c>
      <c r="C254" s="115" t="s">
        <v>96</v>
      </c>
      <c r="D254" s="236"/>
      <c r="E254" s="67" t="s">
        <v>35</v>
      </c>
      <c r="F254" s="131"/>
      <c r="G254" s="131">
        <v>2462043309.7897534</v>
      </c>
      <c r="H254" s="131">
        <v>2081859012.4777284</v>
      </c>
      <c r="I254" s="131">
        <v>2189801282.9047146</v>
      </c>
      <c r="J254" s="131">
        <v>2104630591.6334751</v>
      </c>
      <c r="K254" s="131">
        <v>2080064235.2175531</v>
      </c>
      <c r="L254" s="131">
        <v>2039733638.7378771</v>
      </c>
      <c r="M254" s="131">
        <v>2063993928.4155715</v>
      </c>
      <c r="N254" s="131">
        <v>2125583261.3322549</v>
      </c>
      <c r="O254" s="131">
        <v>2121401989.9512396</v>
      </c>
      <c r="P254" s="131">
        <v>1980209365.6697028</v>
      </c>
      <c r="Q254" s="131">
        <v>1781097253.8784902</v>
      </c>
      <c r="R254" s="131">
        <v>1729386552.7137318</v>
      </c>
      <c r="S254" s="131">
        <v>1765354007.2200966</v>
      </c>
      <c r="T254" s="131">
        <v>1439236190.1760256</v>
      </c>
      <c r="U254" s="131">
        <v>1153197070.9605603</v>
      </c>
      <c r="V254" s="131">
        <v>1031634752.5476413</v>
      </c>
      <c r="W254" s="131">
        <v>1204108276.1161213</v>
      </c>
      <c r="X254" s="131">
        <v>1200690555.2485046</v>
      </c>
      <c r="Y254" s="131">
        <v>1237251176.4158082</v>
      </c>
      <c r="Z254" s="131">
        <v>1142986428.0998671</v>
      </c>
      <c r="AA254" s="131">
        <v>1192471449.413312</v>
      </c>
      <c r="AB254" s="131">
        <v>1273344599.0883892</v>
      </c>
      <c r="AC254" s="131">
        <v>1214956721.3630977</v>
      </c>
      <c r="AD254" s="131">
        <v>863631100.65924048</v>
      </c>
      <c r="AE254" s="131">
        <v>784130745.31878972</v>
      </c>
    </row>
    <row r="255" spans="1:31" x14ac:dyDescent="0.2">
      <c r="A255" s="48"/>
      <c r="B255" s="172">
        <v>2</v>
      </c>
      <c r="C255" s="115" t="s">
        <v>97</v>
      </c>
      <c r="D255" s="236"/>
      <c r="E255" s="67" t="s">
        <v>35</v>
      </c>
      <c r="F255" s="131"/>
      <c r="G255" s="131">
        <v>2462043309.7897534</v>
      </c>
      <c r="H255" s="131">
        <v>2081859012.4777284</v>
      </c>
      <c r="I255" s="131">
        <v>2189801282.9047146</v>
      </c>
      <c r="J255" s="131">
        <v>2104630591.6334751</v>
      </c>
      <c r="K255" s="131">
        <v>2080064235.2175531</v>
      </c>
      <c r="L255" s="131">
        <v>2039733638.7378771</v>
      </c>
      <c r="M255" s="131">
        <v>2063993928.4155715</v>
      </c>
      <c r="N255" s="131">
        <v>2125583261.3322549</v>
      </c>
      <c r="O255" s="131">
        <v>2121401989.9512396</v>
      </c>
      <c r="P255" s="131">
        <v>1980209365.6697028</v>
      </c>
      <c r="Q255" s="131">
        <v>1781097253.8784902</v>
      </c>
      <c r="R255" s="131">
        <v>1729386552.7137318</v>
      </c>
      <c r="S255" s="131">
        <v>1765354007.2200966</v>
      </c>
      <c r="T255" s="131">
        <v>1439236190.1760256</v>
      </c>
      <c r="U255" s="131">
        <v>1153197070.9605603</v>
      </c>
      <c r="V255" s="131">
        <v>1031634752.5476413</v>
      </c>
      <c r="W255" s="131">
        <v>1204108276.1161213</v>
      </c>
      <c r="X255" s="131">
        <v>1200690555.2485046</v>
      </c>
      <c r="Y255" s="131">
        <v>1237251176.4158082</v>
      </c>
      <c r="Z255" s="131">
        <v>1142986428.0998671</v>
      </c>
      <c r="AA255" s="131">
        <v>1192471449.413312</v>
      </c>
      <c r="AB255" s="131">
        <v>1273344599.0883892</v>
      </c>
      <c r="AC255" s="131">
        <v>1214956721.3630977</v>
      </c>
      <c r="AD255" s="131">
        <v>863631100.65924048</v>
      </c>
      <c r="AE255" s="131">
        <v>784130745.31878972</v>
      </c>
    </row>
    <row r="256" spans="1:31" x14ac:dyDescent="0.2">
      <c r="A256" s="48"/>
      <c r="B256" s="172">
        <v>3</v>
      </c>
      <c r="C256" s="115" t="s">
        <v>98</v>
      </c>
      <c r="D256" s="236"/>
      <c r="E256" s="67" t="s">
        <v>35</v>
      </c>
      <c r="F256" s="131"/>
      <c r="G256" s="131">
        <v>2462046540.1411967</v>
      </c>
      <c r="H256" s="131">
        <v>2081862976.5620677</v>
      </c>
      <c r="I256" s="131">
        <v>2189791128.9560952</v>
      </c>
      <c r="J256" s="131">
        <v>2104137773.3552361</v>
      </c>
      <c r="K256" s="131">
        <v>2079201689.3772812</v>
      </c>
      <c r="L256" s="131">
        <v>2039235931.1627908</v>
      </c>
      <c r="M256" s="131">
        <v>2063393537.1686807</v>
      </c>
      <c r="N256" s="131">
        <v>2125229663.9025803</v>
      </c>
      <c r="O256" s="131">
        <v>2120770013.36041</v>
      </c>
      <c r="P256" s="131">
        <v>1977963892.8280215</v>
      </c>
      <c r="Q256" s="131">
        <v>1780088944.4936795</v>
      </c>
      <c r="R256" s="131">
        <v>1728909773.8088655</v>
      </c>
      <c r="S256" s="131">
        <v>1764680334.7235394</v>
      </c>
      <c r="T256" s="131">
        <v>1437954335.6717949</v>
      </c>
      <c r="U256" s="131">
        <v>1152771405.0902822</v>
      </c>
      <c r="V256" s="131">
        <v>1031069914.1406156</v>
      </c>
      <c r="W256" s="131">
        <v>1203789422.1778946</v>
      </c>
      <c r="X256" s="131">
        <v>1200333293.9224117</v>
      </c>
      <c r="Y256" s="131">
        <v>1237004434.1569462</v>
      </c>
      <c r="Z256" s="131">
        <v>1142260508.8421793</v>
      </c>
      <c r="AA256" s="131">
        <v>1192048320.9425776</v>
      </c>
      <c r="AB256" s="131">
        <v>1272344854.5113158</v>
      </c>
      <c r="AC256" s="131">
        <v>1214512278.1954877</v>
      </c>
      <c r="AD256" s="131">
        <v>863103379.73812187</v>
      </c>
      <c r="AE256" s="131">
        <v>783698648.44595456</v>
      </c>
    </row>
    <row r="257" spans="1:31" x14ac:dyDescent="0.2">
      <c r="A257" s="48"/>
      <c r="B257" s="172">
        <v>4</v>
      </c>
      <c r="C257" s="115" t="s">
        <v>99</v>
      </c>
      <c r="D257" s="236"/>
      <c r="E257" s="67" t="s">
        <v>35</v>
      </c>
      <c r="F257" s="131"/>
      <c r="G257" s="131">
        <v>2462000247.7129521</v>
      </c>
      <c r="H257" s="131">
        <v>2081806681.8098102</v>
      </c>
      <c r="I257" s="131">
        <v>2188886686.8554292</v>
      </c>
      <c r="J257" s="131">
        <v>2109739375.3792377</v>
      </c>
      <c r="K257" s="131">
        <v>2090160634.0176058</v>
      </c>
      <c r="L257" s="131">
        <v>2036544556.2893407</v>
      </c>
      <c r="M257" s="131">
        <v>2062764025.7359004</v>
      </c>
      <c r="N257" s="131">
        <v>2128025686.7296605</v>
      </c>
      <c r="O257" s="131">
        <v>2126127271.6213772</v>
      </c>
      <c r="P257" s="131">
        <v>1985777750.1347985</v>
      </c>
      <c r="Q257" s="131">
        <v>1780930479.7619753</v>
      </c>
      <c r="R257" s="131">
        <v>1726123853.8502166</v>
      </c>
      <c r="S257" s="131">
        <v>1766353413.5257237</v>
      </c>
      <c r="T257" s="131">
        <v>1447319107.2626972</v>
      </c>
      <c r="U257" s="131">
        <v>1148439520.2295756</v>
      </c>
      <c r="V257" s="131">
        <v>1027876134.4231204</v>
      </c>
      <c r="W257" s="131">
        <v>1204510324.8380141</v>
      </c>
      <c r="X257" s="131">
        <v>1201810488.8488927</v>
      </c>
      <c r="Y257" s="131">
        <v>1236501064.4090724</v>
      </c>
      <c r="Z257" s="131">
        <v>1141310786.708566</v>
      </c>
      <c r="AA257" s="131">
        <v>1191291397.384058</v>
      </c>
      <c r="AB257" s="131">
        <v>1273865076.2546461</v>
      </c>
      <c r="AC257" s="131">
        <v>1212889027.4509611</v>
      </c>
      <c r="AD257" s="131">
        <v>858741049.61367774</v>
      </c>
      <c r="AE257" s="131">
        <v>784843114.81013489</v>
      </c>
    </row>
    <row r="258" spans="1:31" x14ac:dyDescent="0.2">
      <c r="A258" s="48"/>
      <c r="B258" s="172">
        <v>5</v>
      </c>
      <c r="C258" s="115" t="s">
        <v>100</v>
      </c>
      <c r="D258" s="236"/>
      <c r="E258" s="67" t="s">
        <v>35</v>
      </c>
      <c r="F258" s="178" t="s">
        <v>240</v>
      </c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</row>
    <row r="259" spans="1:31" x14ac:dyDescent="0.2">
      <c r="A259" s="48"/>
      <c r="B259" s="172">
        <v>6</v>
      </c>
      <c r="C259" s="115" t="s">
        <v>174</v>
      </c>
      <c r="D259" s="236"/>
      <c r="E259" s="67" t="s">
        <v>35</v>
      </c>
      <c r="F259" s="178" t="s">
        <v>240</v>
      </c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</row>
    <row r="260" spans="1:31" x14ac:dyDescent="0.2">
      <c r="E260" s="65"/>
    </row>
    <row r="261" spans="1:31" x14ac:dyDescent="0.2">
      <c r="E261" s="65"/>
    </row>
    <row r="262" spans="1:31" x14ac:dyDescent="0.2">
      <c r="E262" s="65"/>
    </row>
    <row r="263" spans="1:31" ht="15.75" x14ac:dyDescent="0.25">
      <c r="B263" s="57" t="s">
        <v>29</v>
      </c>
      <c r="C263" s="57"/>
      <c r="D263" s="109"/>
      <c r="E263" s="108" t="s">
        <v>30</v>
      </c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</row>
    <row r="264" spans="1:31" s="48" customFormat="1" ht="15.75" x14ac:dyDescent="0.25">
      <c r="A264" s="82"/>
      <c r="B264" s="111"/>
      <c r="C264" s="111"/>
      <c r="D264" s="113"/>
      <c r="E264" s="112"/>
      <c r="F264" s="111"/>
      <c r="G264" s="184"/>
      <c r="H264" s="184"/>
      <c r="I264" s="184"/>
      <c r="J264" s="184"/>
      <c r="K264" s="188"/>
      <c r="L264" s="184"/>
      <c r="M264" s="188"/>
      <c r="N264" s="188"/>
      <c r="O264" s="188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51"/>
    </row>
    <row r="265" spans="1:31" ht="15.75" x14ac:dyDescent="0.25">
      <c r="B265" s="58" t="s">
        <v>14</v>
      </c>
      <c r="C265" s="58" t="s">
        <v>13</v>
      </c>
      <c r="D265" s="76" t="s">
        <v>93</v>
      </c>
      <c r="E265" s="62" t="s">
        <v>7</v>
      </c>
      <c r="F265" s="143" t="s">
        <v>103</v>
      </c>
      <c r="G265" s="143" t="s">
        <v>104</v>
      </c>
      <c r="H265" s="143" t="s">
        <v>105</v>
      </c>
      <c r="I265" s="143" t="s">
        <v>106</v>
      </c>
      <c r="J265" s="143" t="s">
        <v>107</v>
      </c>
      <c r="K265" s="143" t="s">
        <v>108</v>
      </c>
      <c r="L265" s="143" t="s">
        <v>109</v>
      </c>
      <c r="M265" s="143" t="s">
        <v>110</v>
      </c>
      <c r="N265" s="143" t="s">
        <v>111</v>
      </c>
      <c r="O265" s="143" t="s">
        <v>112</v>
      </c>
      <c r="P265" s="143" t="s">
        <v>113</v>
      </c>
      <c r="Q265" s="143" t="s">
        <v>114</v>
      </c>
      <c r="R265" s="143" t="s">
        <v>115</v>
      </c>
      <c r="S265" s="143" t="s">
        <v>116</v>
      </c>
      <c r="T265" s="143" t="s">
        <v>117</v>
      </c>
      <c r="U265" s="143" t="s">
        <v>118</v>
      </c>
      <c r="V265" s="143" t="s">
        <v>119</v>
      </c>
      <c r="W265" s="143" t="s">
        <v>120</v>
      </c>
      <c r="X265" s="143" t="s">
        <v>121</v>
      </c>
      <c r="Y265" s="143" t="s">
        <v>122</v>
      </c>
      <c r="Z265" s="143" t="s">
        <v>123</v>
      </c>
      <c r="AA265" s="143" t="s">
        <v>124</v>
      </c>
      <c r="AB265" s="143" t="s">
        <v>125</v>
      </c>
      <c r="AC265" s="143" t="s">
        <v>126</v>
      </c>
      <c r="AD265" s="143" t="s">
        <v>127</v>
      </c>
      <c r="AE265" s="143" t="s">
        <v>153</v>
      </c>
    </row>
    <row r="266" spans="1:31" x14ac:dyDescent="0.2">
      <c r="A266" s="48"/>
      <c r="B266" s="172">
        <v>0</v>
      </c>
      <c r="C266" s="116" t="s">
        <v>15</v>
      </c>
      <c r="D266" s="236"/>
      <c r="E266" s="67" t="s">
        <v>35</v>
      </c>
      <c r="F266" s="131"/>
      <c r="G266" s="131">
        <v>699702.82363801019</v>
      </c>
      <c r="H266" s="131">
        <v>1212632.1348298353</v>
      </c>
      <c r="I266" s="131">
        <v>2161897.0544680823</v>
      </c>
      <c r="J266" s="131">
        <v>1970171.5091004332</v>
      </c>
      <c r="K266" s="131">
        <v>683.64155176614759</v>
      </c>
      <c r="L266" s="131">
        <v>490017.88610620168</v>
      </c>
      <c r="M266" s="131">
        <v>770.62033873482005</v>
      </c>
      <c r="N266" s="131">
        <v>813.13531901804674</v>
      </c>
      <c r="O266" s="131">
        <v>866.07093733561817</v>
      </c>
      <c r="P266" s="131">
        <v>1830953.0059449151</v>
      </c>
      <c r="Q266" s="131">
        <v>139726.34286146323</v>
      </c>
      <c r="R266" s="131">
        <v>4131309.2295863293</v>
      </c>
      <c r="S266" s="131">
        <v>770405.18762815802</v>
      </c>
      <c r="T266" s="131">
        <v>2047744.9799078559</v>
      </c>
      <c r="U266" s="131">
        <v>5892317.3765556803</v>
      </c>
      <c r="V266" s="131">
        <v>6761433.2877755817</v>
      </c>
      <c r="W266" s="131">
        <v>35509491.079980634</v>
      </c>
      <c r="X266" s="131">
        <v>1572.75116937187</v>
      </c>
      <c r="Y266" s="131">
        <v>35866971.927613579</v>
      </c>
      <c r="Z266" s="131">
        <v>1723.1280520824839</v>
      </c>
      <c r="AA266" s="131">
        <v>29833447.899614077</v>
      </c>
      <c r="AB266" s="131">
        <v>12230754.179688461</v>
      </c>
      <c r="AC266" s="131">
        <v>6885060.7575179469</v>
      </c>
      <c r="AD266" s="131">
        <v>44326727.086413331</v>
      </c>
      <c r="AE266" s="131">
        <v>15028880.799573861</v>
      </c>
    </row>
    <row r="267" spans="1:31" x14ac:dyDescent="0.2">
      <c r="A267" s="48"/>
      <c r="B267" s="172">
        <v>1</v>
      </c>
      <c r="C267" s="115" t="s">
        <v>96</v>
      </c>
      <c r="D267" s="236"/>
      <c r="E267" s="67" t="s">
        <v>35</v>
      </c>
      <c r="F267" s="131"/>
      <c r="G267" s="131">
        <v>700455.69490100362</v>
      </c>
      <c r="H267" s="131">
        <v>1306572.9985107731</v>
      </c>
      <c r="I267" s="131">
        <v>2164791.6297867298</v>
      </c>
      <c r="J267" s="131">
        <v>1977560.5335450636</v>
      </c>
      <c r="K267" s="131">
        <v>1624.5883240067208</v>
      </c>
      <c r="L267" s="131">
        <v>493050.96353623143</v>
      </c>
      <c r="M267" s="131">
        <v>1831.1815771005331</v>
      </c>
      <c r="N267" s="131">
        <v>1931.6372384648841</v>
      </c>
      <c r="O267" s="131">
        <v>2057.0334705879463</v>
      </c>
      <c r="P267" s="131">
        <v>1832233.2951383179</v>
      </c>
      <c r="Q267" s="131">
        <v>115793.46513769156</v>
      </c>
      <c r="R267" s="131">
        <v>4134174.0567306364</v>
      </c>
      <c r="S267" s="131">
        <v>637071.27473826974</v>
      </c>
      <c r="T267" s="131">
        <v>2127654.7603645986</v>
      </c>
      <c r="U267" s="131">
        <v>5881390.7486555446</v>
      </c>
      <c r="V267" s="131">
        <v>7004539.4513276368</v>
      </c>
      <c r="W267" s="131">
        <v>35169327.554307655</v>
      </c>
      <c r="X267" s="131">
        <v>3736.4608637822266</v>
      </c>
      <c r="Y267" s="131">
        <v>35868013.744586974</v>
      </c>
      <c r="Z267" s="131">
        <v>4091.4453434454422</v>
      </c>
      <c r="AA267" s="131">
        <v>30186446.438253056</v>
      </c>
      <c r="AB267" s="131">
        <v>12237008.123696046</v>
      </c>
      <c r="AC267" s="131">
        <v>6906015.1632910687</v>
      </c>
      <c r="AD267" s="131">
        <v>46258509.647470325</v>
      </c>
      <c r="AE267" s="131">
        <v>15158894.422919316</v>
      </c>
    </row>
    <row r="268" spans="1:31" x14ac:dyDescent="0.2">
      <c r="A268" s="48"/>
      <c r="B268" s="172">
        <v>2</v>
      </c>
      <c r="C268" s="115" t="s">
        <v>97</v>
      </c>
      <c r="D268" s="236"/>
      <c r="E268" s="67" t="s">
        <v>35</v>
      </c>
      <c r="F268" s="131"/>
      <c r="G268" s="131">
        <v>700455.69490100362</v>
      </c>
      <c r="H268" s="131">
        <v>1306572.9985107731</v>
      </c>
      <c r="I268" s="131">
        <v>2164791.6297867298</v>
      </c>
      <c r="J268" s="131">
        <v>1977560.5335450636</v>
      </c>
      <c r="K268" s="131">
        <v>1624.5883240067208</v>
      </c>
      <c r="L268" s="131">
        <v>493050.96353623143</v>
      </c>
      <c r="M268" s="131">
        <v>1831.1815771005331</v>
      </c>
      <c r="N268" s="131">
        <v>1931.6372384648841</v>
      </c>
      <c r="O268" s="131">
        <v>2057.0334705879463</v>
      </c>
      <c r="P268" s="131">
        <v>1832233.2951383179</v>
      </c>
      <c r="Q268" s="131">
        <v>115793.46513769156</v>
      </c>
      <c r="R268" s="131">
        <v>4134174.0567306364</v>
      </c>
      <c r="S268" s="131">
        <v>637071.27473826974</v>
      </c>
      <c r="T268" s="131">
        <v>2127654.7603645986</v>
      </c>
      <c r="U268" s="131">
        <v>5881390.7486555446</v>
      </c>
      <c r="V268" s="131">
        <v>7004539.4513276368</v>
      </c>
      <c r="W268" s="131">
        <v>35169327.554307655</v>
      </c>
      <c r="X268" s="131">
        <v>3736.4608637822266</v>
      </c>
      <c r="Y268" s="131">
        <v>35868013.744586974</v>
      </c>
      <c r="Z268" s="131">
        <v>4091.4453434454422</v>
      </c>
      <c r="AA268" s="131">
        <v>30186446.438253056</v>
      </c>
      <c r="AB268" s="131">
        <v>12237008.123696046</v>
      </c>
      <c r="AC268" s="131">
        <v>6906015.1632910687</v>
      </c>
      <c r="AD268" s="131">
        <v>46258509.647470325</v>
      </c>
      <c r="AE268" s="131">
        <v>15158894.422919316</v>
      </c>
    </row>
    <row r="269" spans="1:31" x14ac:dyDescent="0.2">
      <c r="A269" s="48"/>
      <c r="B269" s="172">
        <v>3</v>
      </c>
      <c r="C269" s="115" t="s">
        <v>98</v>
      </c>
      <c r="D269" s="236"/>
      <c r="E269" s="67" t="s">
        <v>35</v>
      </c>
      <c r="F269" s="131"/>
      <c r="G269" s="131">
        <v>700923.34289102315</v>
      </c>
      <c r="H269" s="131">
        <v>1307427.1081311281</v>
      </c>
      <c r="I269" s="131">
        <v>2165329.55627394</v>
      </c>
      <c r="J269" s="131">
        <v>1977365.5824544425</v>
      </c>
      <c r="K269" s="131">
        <v>2209.2249278605045</v>
      </c>
      <c r="L269" s="131">
        <v>493684.01362736267</v>
      </c>
      <c r="M269" s="131">
        <v>2490.3170735175463</v>
      </c>
      <c r="N269" s="131">
        <v>2627.0228234086685</v>
      </c>
      <c r="O269" s="131">
        <v>2797.4211573407738</v>
      </c>
      <c r="P269" s="131">
        <v>1833028.348910887</v>
      </c>
      <c r="Q269" s="131">
        <v>113140.855124633</v>
      </c>
      <c r="R269" s="131">
        <v>4134969.4658410391</v>
      </c>
      <c r="S269" s="131">
        <v>618290.6630639038</v>
      </c>
      <c r="T269" s="131">
        <v>2128620.5048180986</v>
      </c>
      <c r="U269" s="131">
        <v>5877039.4658846697</v>
      </c>
      <c r="V269" s="131">
        <v>7044783.3581694243</v>
      </c>
      <c r="W269" s="131">
        <v>35268103.631424464</v>
      </c>
      <c r="X269" s="131">
        <v>5078.6180832850659</v>
      </c>
      <c r="Y269" s="131">
        <v>35868835.346035138</v>
      </c>
      <c r="Z269" s="131">
        <v>5561.3264992687155</v>
      </c>
      <c r="AA269" s="131">
        <v>30189985.833698448</v>
      </c>
      <c r="AB269" s="131">
        <v>12238811.273394775</v>
      </c>
      <c r="AC269" s="131">
        <v>6902712.8592761243</v>
      </c>
      <c r="AD269" s="131">
        <v>46217290.208256699</v>
      </c>
      <c r="AE269" s="131">
        <v>15183207.031875936</v>
      </c>
    </row>
    <row r="270" spans="1:31" x14ac:dyDescent="0.2">
      <c r="A270" s="48"/>
      <c r="B270" s="172">
        <v>4</v>
      </c>
      <c r="C270" s="115" t="s">
        <v>99</v>
      </c>
      <c r="D270" s="236"/>
      <c r="E270" s="67" t="s">
        <v>35</v>
      </c>
      <c r="F270" s="131"/>
      <c r="G270" s="131">
        <v>699628.8435117543</v>
      </c>
      <c r="H270" s="131">
        <v>1228867.5779515062</v>
      </c>
      <c r="I270" s="131">
        <v>2158914.8866847791</v>
      </c>
      <c r="J270" s="131">
        <v>1968045.1400399795</v>
      </c>
      <c r="K270" s="131">
        <v>591.00792512517523</v>
      </c>
      <c r="L270" s="131">
        <v>490417.2568473646</v>
      </c>
      <c r="M270" s="131">
        <v>666.16743466176297</v>
      </c>
      <c r="N270" s="131">
        <v>702.87538433426744</v>
      </c>
      <c r="O270" s="131">
        <v>748.47957995699824</v>
      </c>
      <c r="P270" s="131">
        <v>1830826.9535436777</v>
      </c>
      <c r="Q270" s="131">
        <v>135010.87445007774</v>
      </c>
      <c r="R270" s="131">
        <v>4131350.699989289</v>
      </c>
      <c r="S270" s="131">
        <v>721631.15173313394</v>
      </c>
      <c r="T270" s="131">
        <v>2062394.6611197572</v>
      </c>
      <c r="U270" s="131">
        <v>5905127.8243688699</v>
      </c>
      <c r="V270" s="131">
        <v>6803246.7633609651</v>
      </c>
      <c r="W270" s="131">
        <v>35437976.071378373</v>
      </c>
      <c r="X270" s="131">
        <v>1359.6316296677451</v>
      </c>
      <c r="Y270" s="131">
        <v>35868127.203218758</v>
      </c>
      <c r="Z270" s="131">
        <v>1489.2199586456948</v>
      </c>
      <c r="AA270" s="131">
        <v>29959148.342175689</v>
      </c>
      <c r="AB270" s="131">
        <v>12230721.539399713</v>
      </c>
      <c r="AC270" s="131">
        <v>6889130.9088005815</v>
      </c>
      <c r="AD270" s="131">
        <v>45193368.706013292</v>
      </c>
      <c r="AE270" s="131">
        <v>15106704.539595354</v>
      </c>
    </row>
    <row r="271" spans="1:31" x14ac:dyDescent="0.2">
      <c r="A271" s="48"/>
      <c r="B271" s="172">
        <v>5</v>
      </c>
      <c r="C271" s="115" t="s">
        <v>100</v>
      </c>
      <c r="D271" s="236"/>
      <c r="E271" s="67" t="s">
        <v>35</v>
      </c>
      <c r="F271" s="178" t="s">
        <v>240</v>
      </c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</row>
    <row r="272" spans="1:31" x14ac:dyDescent="0.2">
      <c r="A272" s="48"/>
      <c r="B272" s="172">
        <v>6</v>
      </c>
      <c r="C272" s="115" t="s">
        <v>174</v>
      </c>
      <c r="D272" s="236"/>
      <c r="E272" s="67" t="s">
        <v>35</v>
      </c>
      <c r="F272" s="178" t="s">
        <v>240</v>
      </c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</row>
    <row r="273" spans="1:31" x14ac:dyDescent="0.2">
      <c r="E273" s="65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</row>
    <row r="274" spans="1:31" ht="15.75" x14ac:dyDescent="0.25">
      <c r="B274" s="58" t="s">
        <v>14</v>
      </c>
      <c r="C274" s="58" t="s">
        <v>13</v>
      </c>
      <c r="D274" s="76" t="s">
        <v>151</v>
      </c>
      <c r="E274" s="62" t="s">
        <v>7</v>
      </c>
      <c r="F274" s="143" t="s">
        <v>103</v>
      </c>
      <c r="G274" s="143" t="s">
        <v>104</v>
      </c>
      <c r="H274" s="143" t="s">
        <v>105</v>
      </c>
      <c r="I274" s="143" t="s">
        <v>106</v>
      </c>
      <c r="J274" s="143" t="s">
        <v>107</v>
      </c>
      <c r="K274" s="143" t="s">
        <v>108</v>
      </c>
      <c r="L274" s="143" t="s">
        <v>109</v>
      </c>
      <c r="M274" s="143" t="s">
        <v>110</v>
      </c>
      <c r="N274" s="143" t="s">
        <v>111</v>
      </c>
      <c r="O274" s="143" t="s">
        <v>112</v>
      </c>
      <c r="P274" s="143" t="s">
        <v>113</v>
      </c>
      <c r="Q274" s="143" t="s">
        <v>114</v>
      </c>
      <c r="R274" s="143" t="s">
        <v>115</v>
      </c>
      <c r="S274" s="143" t="s">
        <v>116</v>
      </c>
      <c r="T274" s="143" t="s">
        <v>117</v>
      </c>
      <c r="U274" s="143" t="s">
        <v>118</v>
      </c>
      <c r="V274" s="143" t="s">
        <v>119</v>
      </c>
      <c r="W274" s="143" t="s">
        <v>120</v>
      </c>
      <c r="X274" s="143" t="s">
        <v>121</v>
      </c>
      <c r="Y274" s="143" t="s">
        <v>122</v>
      </c>
      <c r="Z274" s="143" t="s">
        <v>123</v>
      </c>
      <c r="AA274" s="143" t="s">
        <v>124</v>
      </c>
      <c r="AB274" s="143" t="s">
        <v>125</v>
      </c>
      <c r="AC274" s="143" t="s">
        <v>126</v>
      </c>
      <c r="AD274" s="143" t="s">
        <v>127</v>
      </c>
      <c r="AE274" s="143" t="s">
        <v>153</v>
      </c>
    </row>
    <row r="275" spans="1:31" x14ac:dyDescent="0.2">
      <c r="A275" s="48"/>
      <c r="B275" s="172">
        <v>0</v>
      </c>
      <c r="C275" s="116" t="s">
        <v>15</v>
      </c>
      <c r="D275" s="236"/>
      <c r="E275" s="67" t="s">
        <v>35</v>
      </c>
      <c r="F275" s="131"/>
      <c r="G275" s="131">
        <v>197432.39028974023</v>
      </c>
      <c r="H275" s="131">
        <v>2786.2638097204299</v>
      </c>
      <c r="I275" s="131">
        <v>333271.21106123622</v>
      </c>
      <c r="J275" s="131">
        <v>1386179.2576122468</v>
      </c>
      <c r="K275" s="131">
        <v>3377.523352771876</v>
      </c>
      <c r="L275" s="131">
        <v>3460.5008986631069</v>
      </c>
      <c r="M275" s="131">
        <v>3697.7210317527838</v>
      </c>
      <c r="N275" s="131">
        <v>3956.5622662621013</v>
      </c>
      <c r="O275" s="131">
        <v>4271.234398502851</v>
      </c>
      <c r="P275" s="131">
        <v>4735.4136111804846</v>
      </c>
      <c r="Q275" s="131">
        <v>4805.541092994149</v>
      </c>
      <c r="R275" s="131">
        <v>232610.08250338089</v>
      </c>
      <c r="S275" s="131">
        <v>6026.3511168219484</v>
      </c>
      <c r="T275" s="131">
        <v>6109.1394478489374</v>
      </c>
      <c r="U275" s="131">
        <v>610606.6007220695</v>
      </c>
      <c r="V275" s="131">
        <v>1477690.1208747425</v>
      </c>
      <c r="W275" s="131">
        <v>22399823.40648723</v>
      </c>
      <c r="X275" s="131">
        <v>12495770.026354816</v>
      </c>
      <c r="Y275" s="131">
        <v>58740703.83620327</v>
      </c>
      <c r="Z275" s="131">
        <v>88704522.406982347</v>
      </c>
      <c r="AA275" s="131">
        <v>91115157.757425249</v>
      </c>
      <c r="AB275" s="131">
        <v>160906448.20825973</v>
      </c>
      <c r="AC275" s="131">
        <v>288931160.42283595</v>
      </c>
      <c r="AD275" s="131">
        <v>223087922.11268598</v>
      </c>
      <c r="AE275" s="131">
        <v>195739867.55694392</v>
      </c>
    </row>
    <row r="276" spans="1:31" x14ac:dyDescent="0.2">
      <c r="A276" s="48"/>
      <c r="B276" s="172">
        <v>1</v>
      </c>
      <c r="C276" s="115" t="s">
        <v>96</v>
      </c>
      <c r="D276" s="236"/>
      <c r="E276" s="67" t="s">
        <v>35</v>
      </c>
      <c r="F276" s="131"/>
      <c r="G276" s="131">
        <v>204427.3807238575</v>
      </c>
      <c r="H276" s="131">
        <v>3234.8518910664434</v>
      </c>
      <c r="I276" s="131">
        <v>345692.95527309109</v>
      </c>
      <c r="J276" s="131">
        <v>1967879.0626119613</v>
      </c>
      <c r="K276" s="131">
        <v>3920.8665676791261</v>
      </c>
      <c r="L276" s="131">
        <v>4023.8590958736345</v>
      </c>
      <c r="M276" s="131">
        <v>4298.8287966514936</v>
      </c>
      <c r="N276" s="131">
        <v>4595.3229859118946</v>
      </c>
      <c r="O276" s="131">
        <v>4947.543122881938</v>
      </c>
      <c r="P276" s="131">
        <v>5456.6882467953128</v>
      </c>
      <c r="Q276" s="131">
        <v>5563.7919206449624</v>
      </c>
      <c r="R276" s="131">
        <v>219748.63041165352</v>
      </c>
      <c r="S276" s="131">
        <v>6944.0695359435558</v>
      </c>
      <c r="T276" s="131">
        <v>7057.197116101941</v>
      </c>
      <c r="U276" s="131">
        <v>225382.94142730159</v>
      </c>
      <c r="V276" s="131">
        <v>1128410.6813123068</v>
      </c>
      <c r="W276" s="131">
        <v>35522760.544742145</v>
      </c>
      <c r="X276" s="131">
        <v>11231601.955747882</v>
      </c>
      <c r="Y276" s="131">
        <v>56858109.654884599</v>
      </c>
      <c r="Z276" s="131">
        <v>83336463.677032366</v>
      </c>
      <c r="AA276" s="131">
        <v>89359416.213861883</v>
      </c>
      <c r="AB276" s="131">
        <v>153944245.0550943</v>
      </c>
      <c r="AC276" s="131">
        <v>281204641.78289527</v>
      </c>
      <c r="AD276" s="131">
        <v>220685009.26205698</v>
      </c>
      <c r="AE276" s="131">
        <v>190714058.32437381</v>
      </c>
    </row>
    <row r="277" spans="1:31" x14ac:dyDescent="0.2">
      <c r="A277" s="48"/>
      <c r="B277" s="172">
        <v>2</v>
      </c>
      <c r="C277" s="115" t="s">
        <v>97</v>
      </c>
      <c r="D277" s="236"/>
      <c r="E277" s="67" t="s">
        <v>35</v>
      </c>
      <c r="F277" s="131"/>
      <c r="G277" s="131">
        <v>204427.3807238575</v>
      </c>
      <c r="H277" s="131">
        <v>3234.8518910664434</v>
      </c>
      <c r="I277" s="131">
        <v>345692.95527309109</v>
      </c>
      <c r="J277" s="131">
        <v>1967879.0626119613</v>
      </c>
      <c r="K277" s="131">
        <v>3920.8665676791261</v>
      </c>
      <c r="L277" s="131">
        <v>4023.8590958736345</v>
      </c>
      <c r="M277" s="131">
        <v>4298.8287966514936</v>
      </c>
      <c r="N277" s="131">
        <v>4595.3229859118946</v>
      </c>
      <c r="O277" s="131">
        <v>4947.543122881938</v>
      </c>
      <c r="P277" s="131">
        <v>5456.6882467953128</v>
      </c>
      <c r="Q277" s="131">
        <v>5563.7919206449624</v>
      </c>
      <c r="R277" s="131">
        <v>219748.63041165352</v>
      </c>
      <c r="S277" s="131">
        <v>6944.0695359435558</v>
      </c>
      <c r="T277" s="131">
        <v>7057.197116101941</v>
      </c>
      <c r="U277" s="131">
        <v>225382.94142730159</v>
      </c>
      <c r="V277" s="131">
        <v>1128410.6813123068</v>
      </c>
      <c r="W277" s="131">
        <v>35522760.544742145</v>
      </c>
      <c r="X277" s="131">
        <v>11231601.955747882</v>
      </c>
      <c r="Y277" s="131">
        <v>56858109.654884599</v>
      </c>
      <c r="Z277" s="131">
        <v>83336463.677032366</v>
      </c>
      <c r="AA277" s="131">
        <v>89359416.213861883</v>
      </c>
      <c r="AB277" s="131">
        <v>153944245.0550943</v>
      </c>
      <c r="AC277" s="131">
        <v>281204641.78289527</v>
      </c>
      <c r="AD277" s="131">
        <v>220685009.26205698</v>
      </c>
      <c r="AE277" s="131">
        <v>190714058.32437381</v>
      </c>
    </row>
    <row r="278" spans="1:31" x14ac:dyDescent="0.2">
      <c r="A278" s="48"/>
      <c r="B278" s="172">
        <v>3</v>
      </c>
      <c r="C278" s="115" t="s">
        <v>98</v>
      </c>
      <c r="D278" s="236"/>
      <c r="E278" s="67" t="s">
        <v>35</v>
      </c>
      <c r="F278" s="131"/>
      <c r="G278" s="131">
        <v>205079.72610779564</v>
      </c>
      <c r="H278" s="131">
        <v>3806.3969169288243</v>
      </c>
      <c r="I278" s="131">
        <v>346473.73164844245</v>
      </c>
      <c r="J278" s="131">
        <v>1992592.1950116097</v>
      </c>
      <c r="K278" s="131">
        <v>4614.2438240851889</v>
      </c>
      <c r="L278" s="131">
        <v>4735.7366195006216</v>
      </c>
      <c r="M278" s="131">
        <v>5059.4368382485645</v>
      </c>
      <c r="N278" s="131">
        <v>5408.6818266500341</v>
      </c>
      <c r="O278" s="131">
        <v>5822.9827849894909</v>
      </c>
      <c r="P278" s="131">
        <v>6422.4171160702153</v>
      </c>
      <c r="Q278" s="131">
        <v>6549.3991893370703</v>
      </c>
      <c r="R278" s="131">
        <v>220854.44495496029</v>
      </c>
      <c r="S278" s="131">
        <v>8171.0275328476737</v>
      </c>
      <c r="T278" s="131">
        <v>8304.199441662533</v>
      </c>
      <c r="U278" s="131">
        <v>297525.90297436476</v>
      </c>
      <c r="V278" s="131">
        <v>1129756.5101469811</v>
      </c>
      <c r="W278" s="131">
        <v>35742948.769843347</v>
      </c>
      <c r="X278" s="131">
        <v>11222103.564099601</v>
      </c>
      <c r="Y278" s="131">
        <v>56810045.967058212</v>
      </c>
      <c r="Z278" s="131">
        <v>83157871.142233938</v>
      </c>
      <c r="AA278" s="131">
        <v>89273032.669834822</v>
      </c>
      <c r="AB278" s="131">
        <v>153186922.64511228</v>
      </c>
      <c r="AC278" s="131">
        <v>281592511.89214247</v>
      </c>
      <c r="AD278" s="131">
        <v>220869437.06191838</v>
      </c>
      <c r="AE278" s="131">
        <v>190152696.60670289</v>
      </c>
    </row>
    <row r="279" spans="1:31" x14ac:dyDescent="0.2">
      <c r="A279" s="48"/>
      <c r="B279" s="172">
        <v>4</v>
      </c>
      <c r="C279" s="115" t="s">
        <v>99</v>
      </c>
      <c r="D279" s="236"/>
      <c r="E279" s="67" t="s">
        <v>35</v>
      </c>
      <c r="F279" s="131"/>
      <c r="G279" s="131">
        <v>199187.74129699401</v>
      </c>
      <c r="H279" s="131">
        <v>2900.7044281860312</v>
      </c>
      <c r="I279" s="131">
        <v>335474.3595013771</v>
      </c>
      <c r="J279" s="131">
        <v>1386310.4318926218</v>
      </c>
      <c r="K279" s="131">
        <v>3514.8850401960567</v>
      </c>
      <c r="L279" s="131">
        <v>3601.7451479857946</v>
      </c>
      <c r="M279" s="131">
        <v>3848.4199559253434</v>
      </c>
      <c r="N279" s="131">
        <v>4116.5193434625216</v>
      </c>
      <c r="O279" s="131">
        <v>4443.8515101181874</v>
      </c>
      <c r="P279" s="131">
        <v>4925.9997364677583</v>
      </c>
      <c r="Q279" s="131">
        <v>4997.8149682075091</v>
      </c>
      <c r="R279" s="131">
        <v>232585.05001290943</v>
      </c>
      <c r="S279" s="131">
        <v>6271.3185763227075</v>
      </c>
      <c r="T279" s="131">
        <v>6355.2597361007465</v>
      </c>
      <c r="U279" s="131">
        <v>610815.26691907493</v>
      </c>
      <c r="V279" s="131">
        <v>1507078.7708436211</v>
      </c>
      <c r="W279" s="131">
        <v>22227388.352063864</v>
      </c>
      <c r="X279" s="131">
        <v>12533493.17198723</v>
      </c>
      <c r="Y279" s="131">
        <v>58823982.660436623</v>
      </c>
      <c r="Z279" s="131">
        <v>88832307.541325778</v>
      </c>
      <c r="AA279" s="131">
        <v>91327663.016245946</v>
      </c>
      <c r="AB279" s="131">
        <v>160801947.6758936</v>
      </c>
      <c r="AC279" s="131">
        <v>287681473.89675885</v>
      </c>
      <c r="AD279" s="131">
        <v>223894366.68329492</v>
      </c>
      <c r="AE279" s="131">
        <v>195412229.36005792</v>
      </c>
    </row>
    <row r="280" spans="1:31" x14ac:dyDescent="0.2">
      <c r="A280" s="48"/>
      <c r="B280" s="172">
        <v>5</v>
      </c>
      <c r="C280" s="115" t="s">
        <v>100</v>
      </c>
      <c r="D280" s="236"/>
      <c r="E280" s="67" t="s">
        <v>35</v>
      </c>
      <c r="F280" s="178" t="s">
        <v>240</v>
      </c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</row>
    <row r="281" spans="1:31" x14ac:dyDescent="0.2">
      <c r="A281" s="48"/>
      <c r="B281" s="172">
        <v>6</v>
      </c>
      <c r="C281" s="115" t="s">
        <v>174</v>
      </c>
      <c r="D281" s="236"/>
      <c r="E281" s="67" t="s">
        <v>35</v>
      </c>
      <c r="F281" s="178" t="s">
        <v>240</v>
      </c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</row>
    <row r="282" spans="1:31" x14ac:dyDescent="0.2">
      <c r="E282" s="65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</row>
    <row r="283" spans="1:31" ht="15.75" x14ac:dyDescent="0.25">
      <c r="B283" s="58" t="s">
        <v>14</v>
      </c>
      <c r="C283" s="58" t="s">
        <v>13</v>
      </c>
      <c r="D283" s="76" t="s">
        <v>152</v>
      </c>
      <c r="E283" s="62" t="s">
        <v>7</v>
      </c>
      <c r="F283" s="143" t="s">
        <v>103</v>
      </c>
      <c r="G283" s="143" t="s">
        <v>104</v>
      </c>
      <c r="H283" s="143" t="s">
        <v>105</v>
      </c>
      <c r="I283" s="143" t="s">
        <v>106</v>
      </c>
      <c r="J283" s="143" t="s">
        <v>107</v>
      </c>
      <c r="K283" s="143" t="s">
        <v>108</v>
      </c>
      <c r="L283" s="143" t="s">
        <v>109</v>
      </c>
      <c r="M283" s="143" t="s">
        <v>110</v>
      </c>
      <c r="N283" s="143" t="s">
        <v>111</v>
      </c>
      <c r="O283" s="143" t="s">
        <v>112</v>
      </c>
      <c r="P283" s="143" t="s">
        <v>113</v>
      </c>
      <c r="Q283" s="143" t="s">
        <v>114</v>
      </c>
      <c r="R283" s="143" t="s">
        <v>115</v>
      </c>
      <c r="S283" s="143" t="s">
        <v>116</v>
      </c>
      <c r="T283" s="143" t="s">
        <v>117</v>
      </c>
      <c r="U283" s="143" t="s">
        <v>118</v>
      </c>
      <c r="V283" s="143" t="s">
        <v>119</v>
      </c>
      <c r="W283" s="143" t="s">
        <v>120</v>
      </c>
      <c r="X283" s="143" t="s">
        <v>121</v>
      </c>
      <c r="Y283" s="143" t="s">
        <v>122</v>
      </c>
      <c r="Z283" s="143" t="s">
        <v>123</v>
      </c>
      <c r="AA283" s="143" t="s">
        <v>124</v>
      </c>
      <c r="AB283" s="143" t="s">
        <v>125</v>
      </c>
      <c r="AC283" s="143" t="s">
        <v>126</v>
      </c>
      <c r="AD283" s="143" t="s">
        <v>127</v>
      </c>
      <c r="AE283" s="143" t="s">
        <v>153</v>
      </c>
    </row>
    <row r="284" spans="1:31" x14ac:dyDescent="0.2">
      <c r="A284" s="48"/>
      <c r="B284" s="172">
        <v>0</v>
      </c>
      <c r="C284" s="116" t="s">
        <v>15</v>
      </c>
      <c r="D284" s="236"/>
      <c r="E284" s="67" t="s">
        <v>35</v>
      </c>
      <c r="F284" s="131"/>
      <c r="G284" s="131">
        <v>596608.56989058154</v>
      </c>
      <c r="H284" s="131">
        <v>10055.941390305714</v>
      </c>
      <c r="I284" s="131">
        <v>1511092.2591364163</v>
      </c>
      <c r="J284" s="131">
        <v>2326247.1275570402</v>
      </c>
      <c r="K284" s="131">
        <v>1517.6686959810279</v>
      </c>
      <c r="L284" s="131">
        <v>236451.76585119724</v>
      </c>
      <c r="M284" s="131">
        <v>1702.1530522002267</v>
      </c>
      <c r="N284" s="131">
        <v>1788.5240861928512</v>
      </c>
      <c r="O284" s="131">
        <v>1891.5135424754833</v>
      </c>
      <c r="P284" s="131">
        <v>2006.8402845539003</v>
      </c>
      <c r="Q284" s="131">
        <v>2121.8480200366034</v>
      </c>
      <c r="R284" s="131">
        <v>2252.7223545455795</v>
      </c>
      <c r="S284" s="131">
        <v>2386.0066100035879</v>
      </c>
      <c r="T284" s="131">
        <v>13530.941859524964</v>
      </c>
      <c r="U284" s="131">
        <v>4999653.4416813869</v>
      </c>
      <c r="V284" s="131">
        <v>5486416.2746265735</v>
      </c>
      <c r="W284" s="131">
        <v>21311246.31662054</v>
      </c>
      <c r="X284" s="131">
        <v>1939139.6048164763</v>
      </c>
      <c r="Y284" s="131">
        <v>2424240.7177186222</v>
      </c>
      <c r="Z284" s="131">
        <v>9979515.2335344236</v>
      </c>
      <c r="AA284" s="131">
        <v>4892996.8817749266</v>
      </c>
      <c r="AB284" s="131">
        <v>35158471.97941418</v>
      </c>
      <c r="AC284" s="131">
        <v>3774783.1938183261</v>
      </c>
      <c r="AD284" s="131">
        <v>4416269.9064359982</v>
      </c>
      <c r="AE284" s="131">
        <v>8485675.1832702048</v>
      </c>
    </row>
    <row r="285" spans="1:31" x14ac:dyDescent="0.2">
      <c r="A285" s="48"/>
      <c r="B285" s="172">
        <v>1</v>
      </c>
      <c r="C285" s="115" t="s">
        <v>96</v>
      </c>
      <c r="D285" s="236"/>
      <c r="E285" s="67" t="s">
        <v>35</v>
      </c>
      <c r="F285" s="131"/>
      <c r="G285" s="131">
        <v>596510.93551993265</v>
      </c>
      <c r="H285" s="131">
        <v>9953.5613910100874</v>
      </c>
      <c r="I285" s="131">
        <v>1534252.3958516072</v>
      </c>
      <c r="J285" s="131">
        <v>2388365.4866210422</v>
      </c>
      <c r="K285" s="131">
        <v>1394.914644002549</v>
      </c>
      <c r="L285" s="131">
        <v>326072.24527869129</v>
      </c>
      <c r="M285" s="131">
        <v>1563.7527897545322</v>
      </c>
      <c r="N285" s="131">
        <v>1643.9847623292317</v>
      </c>
      <c r="O285" s="131">
        <v>1736.3318163542956</v>
      </c>
      <c r="P285" s="131">
        <v>1842.1844227387733</v>
      </c>
      <c r="Q285" s="131">
        <v>1946.9089747146857</v>
      </c>
      <c r="R285" s="131">
        <v>6235.6261331270634</v>
      </c>
      <c r="S285" s="131">
        <v>2188.9892839303338</v>
      </c>
      <c r="T285" s="131">
        <v>12836.502758919494</v>
      </c>
      <c r="U285" s="131">
        <v>4730640.1231948631</v>
      </c>
      <c r="V285" s="131">
        <v>5431059.7811334748</v>
      </c>
      <c r="W285" s="131">
        <v>19984960.968342137</v>
      </c>
      <c r="X285" s="131">
        <v>1861160.3330962108</v>
      </c>
      <c r="Y285" s="131">
        <v>2774236.751656373</v>
      </c>
      <c r="Z285" s="131">
        <v>10108939.790266806</v>
      </c>
      <c r="AA285" s="131">
        <v>4945396.2337761018</v>
      </c>
      <c r="AB285" s="131">
        <v>34943426.487450935</v>
      </c>
      <c r="AC285" s="131">
        <v>3684674.0091565126</v>
      </c>
      <c r="AD285" s="131">
        <v>4321134.5003333744</v>
      </c>
      <c r="AE285" s="131">
        <v>8583223.5939917974</v>
      </c>
    </row>
    <row r="286" spans="1:31" x14ac:dyDescent="0.2">
      <c r="A286" s="48"/>
      <c r="B286" s="172">
        <v>2</v>
      </c>
      <c r="C286" s="115" t="s">
        <v>97</v>
      </c>
      <c r="D286" s="236"/>
      <c r="E286" s="67" t="s">
        <v>35</v>
      </c>
      <c r="F286" s="131"/>
      <c r="G286" s="131">
        <v>596510.93551993265</v>
      </c>
      <c r="H286" s="131">
        <v>9953.5613910100874</v>
      </c>
      <c r="I286" s="131">
        <v>1534252.3958516072</v>
      </c>
      <c r="J286" s="131">
        <v>2388365.4866210422</v>
      </c>
      <c r="K286" s="131">
        <v>1394.914644002549</v>
      </c>
      <c r="L286" s="131">
        <v>326072.24527869129</v>
      </c>
      <c r="M286" s="131">
        <v>1563.7527897545322</v>
      </c>
      <c r="N286" s="131">
        <v>1643.9847623292317</v>
      </c>
      <c r="O286" s="131">
        <v>1736.3318163542956</v>
      </c>
      <c r="P286" s="131">
        <v>1842.1844227387733</v>
      </c>
      <c r="Q286" s="131">
        <v>1946.9089747146857</v>
      </c>
      <c r="R286" s="131">
        <v>6235.6261331270634</v>
      </c>
      <c r="S286" s="131">
        <v>2188.9892839303338</v>
      </c>
      <c r="T286" s="131">
        <v>12836.502758919494</v>
      </c>
      <c r="U286" s="131">
        <v>4730640.1231948631</v>
      </c>
      <c r="V286" s="131">
        <v>5431059.7811334748</v>
      </c>
      <c r="W286" s="131">
        <v>19984960.968342137</v>
      </c>
      <c r="X286" s="131">
        <v>1861160.3330962108</v>
      </c>
      <c r="Y286" s="131">
        <v>2774236.751656373</v>
      </c>
      <c r="Z286" s="131">
        <v>10108939.790266806</v>
      </c>
      <c r="AA286" s="131">
        <v>4945396.2337761018</v>
      </c>
      <c r="AB286" s="131">
        <v>34943426.487450935</v>
      </c>
      <c r="AC286" s="131">
        <v>3684674.0091565126</v>
      </c>
      <c r="AD286" s="131">
        <v>4321134.5003333744</v>
      </c>
      <c r="AE286" s="131">
        <v>8583223.5939917974</v>
      </c>
    </row>
    <row r="287" spans="1:31" x14ac:dyDescent="0.2">
      <c r="A287" s="48"/>
      <c r="B287" s="172">
        <v>3</v>
      </c>
      <c r="C287" s="115" t="s">
        <v>98</v>
      </c>
      <c r="D287" s="236"/>
      <c r="E287" s="67" t="s">
        <v>35</v>
      </c>
      <c r="F287" s="131"/>
      <c r="G287" s="131">
        <v>595838.47599261953</v>
      </c>
      <c r="H287" s="131">
        <v>9250.7863337571853</v>
      </c>
      <c r="I287" s="131">
        <v>1533500.3257271487</v>
      </c>
      <c r="J287" s="131">
        <v>2387620.5735220984</v>
      </c>
      <c r="K287" s="131">
        <v>559.73871170489622</v>
      </c>
      <c r="L287" s="131">
        <v>325189.98084866459</v>
      </c>
      <c r="M287" s="131">
        <v>627.71774187840106</v>
      </c>
      <c r="N287" s="131">
        <v>660.00519297042649</v>
      </c>
      <c r="O287" s="131">
        <v>697.17333248670479</v>
      </c>
      <c r="P287" s="131">
        <v>739.75499936627341</v>
      </c>
      <c r="Q287" s="131">
        <v>781.91622967257626</v>
      </c>
      <c r="R287" s="131">
        <v>5000.440466781477</v>
      </c>
      <c r="S287" s="131">
        <v>879.41723725693203</v>
      </c>
      <c r="T287" s="131">
        <v>11028.014511561516</v>
      </c>
      <c r="U287" s="131">
        <v>4727797.609468326</v>
      </c>
      <c r="V287" s="131">
        <v>5415185.8839459969</v>
      </c>
      <c r="W287" s="131">
        <v>20040394.639710609</v>
      </c>
      <c r="X287" s="131">
        <v>1911662.0917019008</v>
      </c>
      <c r="Y287" s="131">
        <v>2850515.820596185</v>
      </c>
      <c r="Z287" s="131">
        <v>10073914.698785298</v>
      </c>
      <c r="AA287" s="131">
        <v>4939672.6705337837</v>
      </c>
      <c r="AB287" s="131">
        <v>34884595.780576043</v>
      </c>
      <c r="AC287" s="131">
        <v>3670921.1120428503</v>
      </c>
      <c r="AD287" s="131">
        <v>4384221.0247195838</v>
      </c>
      <c r="AE287" s="131">
        <v>8603452.7160515543</v>
      </c>
    </row>
    <row r="288" spans="1:31" x14ac:dyDescent="0.2">
      <c r="A288" s="48"/>
      <c r="B288" s="172">
        <v>4</v>
      </c>
      <c r="C288" s="115" t="s">
        <v>99</v>
      </c>
      <c r="D288" s="236"/>
      <c r="E288" s="67" t="s">
        <v>35</v>
      </c>
      <c r="F288" s="131"/>
      <c r="G288" s="131">
        <v>595888.6949933063</v>
      </c>
      <c r="H288" s="131">
        <v>9303.1564605255771</v>
      </c>
      <c r="I288" s="131">
        <v>1521061.1643329612</v>
      </c>
      <c r="J288" s="131">
        <v>2353240.7440313953</v>
      </c>
      <c r="K288" s="131">
        <v>621.80322949449851</v>
      </c>
      <c r="L288" s="131">
        <v>245112.83405523913</v>
      </c>
      <c r="M288" s="131">
        <v>697.17959351744662</v>
      </c>
      <c r="N288" s="131">
        <v>732.46025519891577</v>
      </c>
      <c r="O288" s="131">
        <v>774.53217159909627</v>
      </c>
      <c r="P288" s="131">
        <v>821.6535858644769</v>
      </c>
      <c r="Q288" s="131">
        <v>868.63257974748171</v>
      </c>
      <c r="R288" s="131">
        <v>922.05908638044605</v>
      </c>
      <c r="S288" s="131">
        <v>976.46677416783928</v>
      </c>
      <c r="T288" s="131">
        <v>12045.981213288927</v>
      </c>
      <c r="U288" s="131">
        <v>4998258.5041083116</v>
      </c>
      <c r="V288" s="131">
        <v>5485009.5723157274</v>
      </c>
      <c r="W288" s="131">
        <v>21373333.285013702</v>
      </c>
      <c r="X288" s="131">
        <v>1931631.8520749963</v>
      </c>
      <c r="Y288" s="131">
        <v>2420554.326530573</v>
      </c>
      <c r="Z288" s="131">
        <v>10028599.206033587</v>
      </c>
      <c r="AA288" s="131">
        <v>5049617.5876489347</v>
      </c>
      <c r="AB288" s="131">
        <v>35163115.38005808</v>
      </c>
      <c r="AC288" s="131">
        <v>3694857.5519905821</v>
      </c>
      <c r="AD288" s="131">
        <v>4399570.4035053449</v>
      </c>
      <c r="AE288" s="131">
        <v>8527228.8678436391</v>
      </c>
    </row>
    <row r="289" spans="1:31" x14ac:dyDescent="0.2">
      <c r="A289" s="48"/>
      <c r="B289" s="172">
        <v>5</v>
      </c>
      <c r="C289" s="115" t="s">
        <v>100</v>
      </c>
      <c r="D289" s="236"/>
      <c r="E289" s="67" t="s">
        <v>35</v>
      </c>
      <c r="F289" s="178" t="s">
        <v>240</v>
      </c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</row>
    <row r="290" spans="1:31" x14ac:dyDescent="0.2">
      <c r="A290" s="48"/>
      <c r="B290" s="172">
        <v>6</v>
      </c>
      <c r="C290" s="115" t="s">
        <v>174</v>
      </c>
      <c r="D290" s="236"/>
      <c r="E290" s="67" t="s">
        <v>35</v>
      </c>
      <c r="F290" s="178" t="s">
        <v>240</v>
      </c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</row>
    <row r="291" spans="1:31" x14ac:dyDescent="0.2">
      <c r="E291" s="65"/>
    </row>
    <row r="292" spans="1:31" ht="15.75" x14ac:dyDescent="0.25">
      <c r="B292" s="58" t="s">
        <v>14</v>
      </c>
      <c r="C292" s="58" t="s">
        <v>13</v>
      </c>
      <c r="D292" s="76" t="s">
        <v>202</v>
      </c>
      <c r="E292" s="62" t="s">
        <v>7</v>
      </c>
      <c r="F292" s="143" t="s">
        <v>103</v>
      </c>
      <c r="G292" s="143" t="s">
        <v>104</v>
      </c>
      <c r="H292" s="143" t="s">
        <v>105</v>
      </c>
      <c r="I292" s="143" t="s">
        <v>106</v>
      </c>
      <c r="J292" s="143" t="s">
        <v>107</v>
      </c>
      <c r="K292" s="143" t="s">
        <v>108</v>
      </c>
      <c r="L292" s="143" t="s">
        <v>109</v>
      </c>
      <c r="M292" s="143" t="s">
        <v>110</v>
      </c>
      <c r="N292" s="143" t="s">
        <v>111</v>
      </c>
      <c r="O292" s="143" t="s">
        <v>112</v>
      </c>
      <c r="P292" s="143" t="s">
        <v>113</v>
      </c>
      <c r="Q292" s="143" t="s">
        <v>114</v>
      </c>
      <c r="R292" s="143" t="s">
        <v>115</v>
      </c>
      <c r="S292" s="143" t="s">
        <v>116</v>
      </c>
      <c r="T292" s="143" t="s">
        <v>117</v>
      </c>
      <c r="U292" s="143" t="s">
        <v>118</v>
      </c>
      <c r="V292" s="143" t="s">
        <v>119</v>
      </c>
      <c r="W292" s="143" t="s">
        <v>120</v>
      </c>
      <c r="X292" s="143" t="s">
        <v>121</v>
      </c>
      <c r="Y292" s="143" t="s">
        <v>122</v>
      </c>
      <c r="Z292" s="143" t="s">
        <v>123</v>
      </c>
      <c r="AA292" s="143" t="s">
        <v>124</v>
      </c>
      <c r="AB292" s="143" t="s">
        <v>125</v>
      </c>
      <c r="AC292" s="143" t="s">
        <v>126</v>
      </c>
      <c r="AD292" s="143" t="s">
        <v>127</v>
      </c>
      <c r="AE292" s="143" t="s">
        <v>153</v>
      </c>
    </row>
    <row r="293" spans="1:31" x14ac:dyDescent="0.2">
      <c r="A293" s="48"/>
      <c r="B293" s="172">
        <v>0</v>
      </c>
      <c r="C293" s="116" t="s">
        <v>15</v>
      </c>
      <c r="D293" s="236"/>
      <c r="E293" s="67" t="s">
        <v>35</v>
      </c>
      <c r="F293" s="131"/>
      <c r="G293" s="131">
        <v>713492.73223707906</v>
      </c>
      <c r="H293" s="131">
        <v>166010.69543198118</v>
      </c>
      <c r="I293" s="131">
        <v>2197865.3182665929</v>
      </c>
      <c r="J293" s="131">
        <v>1450615.8390792345</v>
      </c>
      <c r="K293" s="131">
        <v>1449.9990346519269</v>
      </c>
      <c r="L293" s="131">
        <v>1538.9391353547662</v>
      </c>
      <c r="M293" s="131">
        <v>1639.7935399008722</v>
      </c>
      <c r="N293" s="131">
        <v>1738.8145491252153</v>
      </c>
      <c r="O293" s="131">
        <v>1855.7046992904754</v>
      </c>
      <c r="P293" s="131">
        <v>316068.7562288359</v>
      </c>
      <c r="Q293" s="131">
        <v>3399.4918654235144</v>
      </c>
      <c r="R293" s="131">
        <v>1208503.0297285262</v>
      </c>
      <c r="S293" s="131">
        <v>817923.55761953921</v>
      </c>
      <c r="T293" s="131">
        <v>215761.01369702668</v>
      </c>
      <c r="U293" s="131">
        <v>6983688.6488018148</v>
      </c>
      <c r="V293" s="131">
        <v>3116575.9611408217</v>
      </c>
      <c r="W293" s="131">
        <v>38466028.677563064</v>
      </c>
      <c r="X293" s="131">
        <v>3197.2851317232316</v>
      </c>
      <c r="Y293" s="131">
        <v>26481546.363244072</v>
      </c>
      <c r="Z293" s="131">
        <v>3600.8136731245827</v>
      </c>
      <c r="AA293" s="131">
        <v>30781939.548365697</v>
      </c>
      <c r="AB293" s="131">
        <v>35389294.88307979</v>
      </c>
      <c r="AC293" s="131">
        <v>2613957.9543017237</v>
      </c>
      <c r="AD293" s="131">
        <v>31131416.66772715</v>
      </c>
      <c r="AE293" s="131">
        <v>12651458.462867733</v>
      </c>
    </row>
    <row r="294" spans="1:31" x14ac:dyDescent="0.2">
      <c r="A294" s="48"/>
      <c r="B294" s="172">
        <v>1</v>
      </c>
      <c r="C294" s="115" t="s">
        <v>96</v>
      </c>
      <c r="D294" s="236"/>
      <c r="E294" s="67" t="s">
        <v>35</v>
      </c>
      <c r="F294" s="131"/>
      <c r="G294" s="131">
        <v>713601.37416803918</v>
      </c>
      <c r="H294" s="131">
        <v>166124.79611697714</v>
      </c>
      <c r="I294" s="131">
        <v>2198104.8654571814</v>
      </c>
      <c r="J294" s="131">
        <v>1452509.4645969486</v>
      </c>
      <c r="K294" s="131">
        <v>1588.4069922728256</v>
      </c>
      <c r="L294" s="131">
        <v>1686.9634923659157</v>
      </c>
      <c r="M294" s="131">
        <v>1797.2723419965489</v>
      </c>
      <c r="N294" s="131">
        <v>1905.5988212183386</v>
      </c>
      <c r="O294" s="131">
        <v>2033.6200271749467</v>
      </c>
      <c r="P294" s="131">
        <v>316258.5061446047</v>
      </c>
      <c r="Q294" s="131">
        <v>3503.9065228376135</v>
      </c>
      <c r="R294" s="131">
        <v>1189184.987814151</v>
      </c>
      <c r="S294" s="131">
        <v>942594.65777488553</v>
      </c>
      <c r="T294" s="131">
        <v>216002.01795143852</v>
      </c>
      <c r="U294" s="131">
        <v>6465341.4796362938</v>
      </c>
      <c r="V294" s="131">
        <v>3157117.1682649101</v>
      </c>
      <c r="W294" s="131">
        <v>38439433.410310321</v>
      </c>
      <c r="X294" s="131">
        <v>3498.6996989032909</v>
      </c>
      <c r="Y294" s="131">
        <v>26472908.542718749</v>
      </c>
      <c r="Z294" s="131">
        <v>3939.3833744233038</v>
      </c>
      <c r="AA294" s="131">
        <v>31098850.056427073</v>
      </c>
      <c r="AB294" s="131">
        <v>35386760.51316195</v>
      </c>
      <c r="AC294" s="131">
        <v>2647809.3878697958</v>
      </c>
      <c r="AD294" s="131">
        <v>30606627.262937285</v>
      </c>
      <c r="AE294" s="131">
        <v>14620002.205457177</v>
      </c>
    </row>
    <row r="295" spans="1:31" x14ac:dyDescent="0.2">
      <c r="A295" s="48"/>
      <c r="B295" s="172">
        <v>2</v>
      </c>
      <c r="C295" s="115" t="s">
        <v>97</v>
      </c>
      <c r="D295" s="236"/>
      <c r="E295" s="67" t="s">
        <v>35</v>
      </c>
      <c r="F295" s="131"/>
      <c r="G295" s="131">
        <v>713601.37416803918</v>
      </c>
      <c r="H295" s="131">
        <v>166124.79611697714</v>
      </c>
      <c r="I295" s="131">
        <v>2198104.8654571814</v>
      </c>
      <c r="J295" s="131">
        <v>1452509.4645969486</v>
      </c>
      <c r="K295" s="131">
        <v>1588.4069922728256</v>
      </c>
      <c r="L295" s="131">
        <v>1686.9634923659157</v>
      </c>
      <c r="M295" s="131">
        <v>1797.2723419965489</v>
      </c>
      <c r="N295" s="131">
        <v>1905.5988212183386</v>
      </c>
      <c r="O295" s="131">
        <v>2033.6200271749467</v>
      </c>
      <c r="P295" s="131">
        <v>316258.5061446047</v>
      </c>
      <c r="Q295" s="131">
        <v>3503.9065228376135</v>
      </c>
      <c r="R295" s="131">
        <v>1189184.987814151</v>
      </c>
      <c r="S295" s="131">
        <v>942594.65777488553</v>
      </c>
      <c r="T295" s="131">
        <v>216002.01795143852</v>
      </c>
      <c r="U295" s="131">
        <v>6465341.4796362938</v>
      </c>
      <c r="V295" s="131">
        <v>3157117.1682649101</v>
      </c>
      <c r="W295" s="131">
        <v>38439433.410310321</v>
      </c>
      <c r="X295" s="131">
        <v>3498.6996989032909</v>
      </c>
      <c r="Y295" s="131">
        <v>26472908.542718749</v>
      </c>
      <c r="Z295" s="131">
        <v>3939.3833744233038</v>
      </c>
      <c r="AA295" s="131">
        <v>31098850.056427073</v>
      </c>
      <c r="AB295" s="131">
        <v>35386760.51316195</v>
      </c>
      <c r="AC295" s="131">
        <v>2647809.3878697958</v>
      </c>
      <c r="AD295" s="131">
        <v>30606627.262937285</v>
      </c>
      <c r="AE295" s="131">
        <v>14620002.205457177</v>
      </c>
    </row>
    <row r="296" spans="1:31" x14ac:dyDescent="0.2">
      <c r="A296" s="48"/>
      <c r="B296" s="172">
        <v>3</v>
      </c>
      <c r="C296" s="115" t="s">
        <v>98</v>
      </c>
      <c r="D296" s="236"/>
      <c r="E296" s="67" t="s">
        <v>35</v>
      </c>
      <c r="F296" s="131"/>
      <c r="G296" s="131">
        <v>713219.65575711522</v>
      </c>
      <c r="H296" s="131">
        <v>165724.36983701948</v>
      </c>
      <c r="I296" s="131">
        <v>2197677.8232046333</v>
      </c>
      <c r="J296" s="131">
        <v>1452059.3079452985</v>
      </c>
      <c r="K296" s="131">
        <v>1106.0196840014237</v>
      </c>
      <c r="L296" s="131">
        <v>1174.5952279616063</v>
      </c>
      <c r="M296" s="131">
        <v>1251.2516053382988</v>
      </c>
      <c r="N296" s="131">
        <v>1326.6532131229665</v>
      </c>
      <c r="O296" s="131">
        <v>1415.642239679099</v>
      </c>
      <c r="P296" s="131">
        <v>315590.25832635793</v>
      </c>
      <c r="Q296" s="131">
        <v>2811.6383364426824</v>
      </c>
      <c r="R296" s="131">
        <v>1187702.6187096115</v>
      </c>
      <c r="S296" s="131">
        <v>961350.93060176575</v>
      </c>
      <c r="T296" s="131">
        <v>215158.88960606398</v>
      </c>
      <c r="U296" s="131">
        <v>6464799.2881895574</v>
      </c>
      <c r="V296" s="131">
        <v>3204274.2440247796</v>
      </c>
      <c r="W296" s="131">
        <v>38438151.84082213</v>
      </c>
      <c r="X296" s="131">
        <v>2437.5578924842853</v>
      </c>
      <c r="Y296" s="131">
        <v>26470795.875509501</v>
      </c>
      <c r="Z296" s="131">
        <v>2745.5279886667654</v>
      </c>
      <c r="AA296" s="131">
        <v>30935561.921606176</v>
      </c>
      <c r="AB296" s="131">
        <v>35388597.886713415</v>
      </c>
      <c r="AC296" s="131">
        <v>2639986.5320647187</v>
      </c>
      <c r="AD296" s="131">
        <v>30630224.252753247</v>
      </c>
      <c r="AE296" s="131">
        <v>14650930.535244932</v>
      </c>
    </row>
    <row r="297" spans="1:31" x14ac:dyDescent="0.2">
      <c r="A297" s="48"/>
      <c r="B297" s="172">
        <v>4</v>
      </c>
      <c r="C297" s="115" t="s">
        <v>99</v>
      </c>
      <c r="D297" s="236"/>
      <c r="E297" s="67" t="s">
        <v>35</v>
      </c>
      <c r="F297" s="131"/>
      <c r="G297" s="131">
        <v>713813.93663195847</v>
      </c>
      <c r="H297" s="131">
        <v>166347.510490888</v>
      </c>
      <c r="I297" s="131">
        <v>2198224.2859219057</v>
      </c>
      <c r="J297" s="131">
        <v>1452108.3862322622</v>
      </c>
      <c r="K297" s="131">
        <v>1854.8027584783283</v>
      </c>
      <c r="L297" s="131">
        <v>1968.801046456821</v>
      </c>
      <c r="M297" s="131">
        <v>2097.4795126612657</v>
      </c>
      <c r="N297" s="131">
        <v>2224.1491997676189</v>
      </c>
      <c r="O297" s="131">
        <v>2373.8630503558552</v>
      </c>
      <c r="P297" s="131">
        <v>316630.79961557192</v>
      </c>
      <c r="Q297" s="131">
        <v>3285.4894352996789</v>
      </c>
      <c r="R297" s="131">
        <v>1220861.4006809741</v>
      </c>
      <c r="S297" s="131">
        <v>820308.53775207512</v>
      </c>
      <c r="T297" s="131">
        <v>216468.14719081591</v>
      </c>
      <c r="U297" s="131">
        <v>6890357.7921068175</v>
      </c>
      <c r="V297" s="131">
        <v>3117273.1209565187</v>
      </c>
      <c r="W297" s="131">
        <v>38456866.625435993</v>
      </c>
      <c r="X297" s="131">
        <v>4089.1887784058645</v>
      </c>
      <c r="Y297" s="131">
        <v>26482379.907759424</v>
      </c>
      <c r="Z297" s="131">
        <v>4605.6901264278786</v>
      </c>
      <c r="AA297" s="131">
        <v>30755692.469832093</v>
      </c>
      <c r="AB297" s="131">
        <v>35374337.805103719</v>
      </c>
      <c r="AC297" s="131">
        <v>2615305.5820622677</v>
      </c>
      <c r="AD297" s="131">
        <v>30819071.322887406</v>
      </c>
      <c r="AE297" s="131">
        <v>12819295.881409649</v>
      </c>
    </row>
    <row r="298" spans="1:31" x14ac:dyDescent="0.2">
      <c r="A298" s="48"/>
      <c r="B298" s="172">
        <v>5</v>
      </c>
      <c r="C298" s="115" t="s">
        <v>100</v>
      </c>
      <c r="D298" s="236"/>
      <c r="E298" s="67" t="s">
        <v>35</v>
      </c>
      <c r="F298" s="178" t="s">
        <v>240</v>
      </c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</row>
    <row r="299" spans="1:31" x14ac:dyDescent="0.2">
      <c r="A299" s="48"/>
      <c r="B299" s="172">
        <v>6</v>
      </c>
      <c r="C299" s="115" t="s">
        <v>174</v>
      </c>
      <c r="D299" s="236"/>
      <c r="E299" s="67" t="s">
        <v>35</v>
      </c>
      <c r="F299" s="178" t="s">
        <v>240</v>
      </c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</row>
    <row r="300" spans="1:31" x14ac:dyDescent="0.2">
      <c r="E300" s="65"/>
    </row>
    <row r="301" spans="1:31" x14ac:dyDescent="0.2">
      <c r="E301" s="65"/>
    </row>
    <row r="302" spans="1:31" ht="15.75" x14ac:dyDescent="0.25">
      <c r="B302" s="57" t="s">
        <v>78</v>
      </c>
      <c r="C302" s="57"/>
      <c r="D302" s="109"/>
      <c r="E302" s="108" t="s">
        <v>32</v>
      </c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</row>
    <row r="303" spans="1:31" s="48" customFormat="1" ht="15.75" x14ac:dyDescent="0.25">
      <c r="A303" s="82"/>
      <c r="B303" s="111"/>
      <c r="C303" s="111"/>
      <c r="D303" s="113"/>
      <c r="E303" s="112"/>
      <c r="F303" s="111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51"/>
    </row>
    <row r="304" spans="1:31" ht="15.75" x14ac:dyDescent="0.25">
      <c r="B304" s="58" t="s">
        <v>14</v>
      </c>
      <c r="C304" s="58" t="s">
        <v>13</v>
      </c>
      <c r="D304" s="76" t="s">
        <v>93</v>
      </c>
      <c r="E304" s="62" t="s">
        <v>7</v>
      </c>
      <c r="F304" s="143" t="s">
        <v>103</v>
      </c>
      <c r="G304" s="143" t="s">
        <v>104</v>
      </c>
      <c r="H304" s="143" t="s">
        <v>105</v>
      </c>
      <c r="I304" s="143" t="s">
        <v>106</v>
      </c>
      <c r="J304" s="143" t="s">
        <v>107</v>
      </c>
      <c r="K304" s="143" t="s">
        <v>108</v>
      </c>
      <c r="L304" s="143" t="s">
        <v>109</v>
      </c>
      <c r="M304" s="143" t="s">
        <v>110</v>
      </c>
      <c r="N304" s="143" t="s">
        <v>111</v>
      </c>
      <c r="O304" s="143" t="s">
        <v>112</v>
      </c>
      <c r="P304" s="143" t="s">
        <v>113</v>
      </c>
      <c r="Q304" s="143" t="s">
        <v>114</v>
      </c>
      <c r="R304" s="143" t="s">
        <v>115</v>
      </c>
      <c r="S304" s="143" t="s">
        <v>116</v>
      </c>
      <c r="T304" s="143" t="s">
        <v>117</v>
      </c>
      <c r="U304" s="143" t="s">
        <v>118</v>
      </c>
      <c r="V304" s="143" t="s">
        <v>119</v>
      </c>
      <c r="W304" s="143" t="s">
        <v>120</v>
      </c>
      <c r="X304" s="143" t="s">
        <v>121</v>
      </c>
      <c r="Y304" s="143" t="s">
        <v>122</v>
      </c>
      <c r="Z304" s="143" t="s">
        <v>123</v>
      </c>
      <c r="AA304" s="143" t="s">
        <v>124</v>
      </c>
      <c r="AB304" s="143" t="s">
        <v>125</v>
      </c>
      <c r="AC304" s="143" t="s">
        <v>126</v>
      </c>
      <c r="AD304" s="143" t="s">
        <v>127</v>
      </c>
      <c r="AE304" s="143" t="s">
        <v>153</v>
      </c>
    </row>
    <row r="305" spans="1:31" x14ac:dyDescent="0.2">
      <c r="A305" s="48"/>
      <c r="B305" s="172">
        <v>0</v>
      </c>
      <c r="C305" s="116" t="s">
        <v>15</v>
      </c>
      <c r="D305" s="236"/>
      <c r="E305" s="67" t="s">
        <v>35</v>
      </c>
      <c r="F305" s="131"/>
      <c r="G305" s="131">
        <v>751646082.03241849</v>
      </c>
      <c r="H305" s="131">
        <v>2194636187.7342033</v>
      </c>
      <c r="I305" s="131">
        <v>717797759.52240312</v>
      </c>
      <c r="J305" s="131">
        <v>909833386.62602973</v>
      </c>
      <c r="K305" s="131">
        <v>2062369508.8072777</v>
      </c>
      <c r="L305" s="131">
        <v>851315645.87610912</v>
      </c>
      <c r="M305" s="131">
        <v>2036341530.0266116</v>
      </c>
      <c r="N305" s="131">
        <v>6031728757.4015179</v>
      </c>
      <c r="O305" s="131">
        <v>1782230183.3397515</v>
      </c>
      <c r="P305" s="131">
        <v>1854324841.9413383</v>
      </c>
      <c r="Q305" s="131">
        <v>726851274.76662719</v>
      </c>
      <c r="R305" s="131">
        <v>8242729206.0993452</v>
      </c>
      <c r="S305" s="131">
        <v>1161201606.9823282</v>
      </c>
      <c r="T305" s="131">
        <v>2050802717.903883</v>
      </c>
      <c r="U305" s="131">
        <v>9382343590.8258018</v>
      </c>
      <c r="V305" s="131">
        <v>4007792350.2821317</v>
      </c>
      <c r="W305" s="131">
        <v>11616533109.907833</v>
      </c>
      <c r="X305" s="131">
        <v>1634835449.9081733</v>
      </c>
      <c r="Y305" s="131">
        <v>752502779.07790518</v>
      </c>
      <c r="Z305" s="131">
        <v>736530757.97654712</v>
      </c>
      <c r="AA305" s="131">
        <v>3624939965.2225404</v>
      </c>
      <c r="AB305" s="131">
        <v>3406748040.0678391</v>
      </c>
      <c r="AC305" s="131">
        <v>1091347524.2582304</v>
      </c>
      <c r="AD305" s="131">
        <v>1908570569.802511</v>
      </c>
      <c r="AE305" s="131">
        <v>964806198.05403709</v>
      </c>
    </row>
    <row r="306" spans="1:31" x14ac:dyDescent="0.2">
      <c r="A306" s="48"/>
      <c r="B306" s="172">
        <v>1</v>
      </c>
      <c r="C306" s="115" t="s">
        <v>96</v>
      </c>
      <c r="D306" s="236"/>
      <c r="E306" s="67" t="s">
        <v>35</v>
      </c>
      <c r="F306" s="131"/>
      <c r="G306" s="131">
        <v>751666537.31189942</v>
      </c>
      <c r="H306" s="131">
        <v>2181723975.6443391</v>
      </c>
      <c r="I306" s="131">
        <v>717880847.71178997</v>
      </c>
      <c r="J306" s="131">
        <v>909213220.54008806</v>
      </c>
      <c r="K306" s="131">
        <v>2063228304.2161121</v>
      </c>
      <c r="L306" s="131">
        <v>854406996.3276335</v>
      </c>
      <c r="M306" s="131">
        <v>2069357274.3202057</v>
      </c>
      <c r="N306" s="131">
        <v>6037442495.1903162</v>
      </c>
      <c r="O306" s="131">
        <v>1773940659.7382083</v>
      </c>
      <c r="P306" s="131">
        <v>1861920713.3448293</v>
      </c>
      <c r="Q306" s="131">
        <v>724677790.42781591</v>
      </c>
      <c r="R306" s="131">
        <v>8176344411.0489054</v>
      </c>
      <c r="S306" s="131">
        <v>1154152638.8709819</v>
      </c>
      <c r="T306" s="131">
        <v>2001709569.2949321</v>
      </c>
      <c r="U306" s="131">
        <v>9352349330.6611195</v>
      </c>
      <c r="V306" s="131">
        <v>4005288923.8212857</v>
      </c>
      <c r="W306" s="131">
        <v>11648922090.623434</v>
      </c>
      <c r="X306" s="131">
        <v>1648308569.4017708</v>
      </c>
      <c r="Y306" s="131">
        <v>763063707.65393353</v>
      </c>
      <c r="Z306" s="131">
        <v>735780662.81513083</v>
      </c>
      <c r="AA306" s="131">
        <v>3632770510.5605526</v>
      </c>
      <c r="AB306" s="131">
        <v>3377749454.110599</v>
      </c>
      <c r="AC306" s="131">
        <v>1096262637.5741026</v>
      </c>
      <c r="AD306" s="131">
        <v>1908387484.5427561</v>
      </c>
      <c r="AE306" s="131">
        <v>963253466.06685376</v>
      </c>
    </row>
    <row r="307" spans="1:31" x14ac:dyDescent="0.2">
      <c r="A307" s="48"/>
      <c r="B307" s="172">
        <v>2</v>
      </c>
      <c r="C307" s="115" t="s">
        <v>97</v>
      </c>
      <c r="D307" s="236"/>
      <c r="E307" s="67" t="s">
        <v>35</v>
      </c>
      <c r="F307" s="131"/>
      <c r="G307" s="131">
        <v>751666537.31189942</v>
      </c>
      <c r="H307" s="131">
        <v>2181723975.6443391</v>
      </c>
      <c r="I307" s="131">
        <v>717880847.71178997</v>
      </c>
      <c r="J307" s="131">
        <v>909213220.54008806</v>
      </c>
      <c r="K307" s="131">
        <v>2063228304.2161121</v>
      </c>
      <c r="L307" s="131">
        <v>854406996.3276335</v>
      </c>
      <c r="M307" s="131">
        <v>2069357274.3202057</v>
      </c>
      <c r="N307" s="131">
        <v>6037442495.1903162</v>
      </c>
      <c r="O307" s="131">
        <v>1773940659.7382083</v>
      </c>
      <c r="P307" s="131">
        <v>1861920713.3448293</v>
      </c>
      <c r="Q307" s="131">
        <v>724677790.42781591</v>
      </c>
      <c r="R307" s="131">
        <v>8176344411.0489054</v>
      </c>
      <c r="S307" s="131">
        <v>1154152638.8709819</v>
      </c>
      <c r="T307" s="131">
        <v>2001709569.2949321</v>
      </c>
      <c r="U307" s="131">
        <v>9352349330.6611195</v>
      </c>
      <c r="V307" s="131">
        <v>4005288923.8212857</v>
      </c>
      <c r="W307" s="131">
        <v>11648922090.623434</v>
      </c>
      <c r="X307" s="131">
        <v>1648308569.4017708</v>
      </c>
      <c r="Y307" s="131">
        <v>763063707.65393353</v>
      </c>
      <c r="Z307" s="131">
        <v>735780662.81513083</v>
      </c>
      <c r="AA307" s="131">
        <v>3632770510.5605526</v>
      </c>
      <c r="AB307" s="131">
        <v>3377749454.110599</v>
      </c>
      <c r="AC307" s="131">
        <v>1096262637.5741026</v>
      </c>
      <c r="AD307" s="131">
        <v>1908387484.5427561</v>
      </c>
      <c r="AE307" s="131">
        <v>963253466.06685376</v>
      </c>
    </row>
    <row r="308" spans="1:31" x14ac:dyDescent="0.2">
      <c r="A308" s="48"/>
      <c r="B308" s="172">
        <v>3</v>
      </c>
      <c r="C308" s="115" t="s">
        <v>98</v>
      </c>
      <c r="D308" s="236"/>
      <c r="E308" s="67" t="s">
        <v>35</v>
      </c>
      <c r="F308" s="131"/>
      <c r="G308" s="131">
        <v>751679500.19792569</v>
      </c>
      <c r="H308" s="131">
        <v>2181666030.9333577</v>
      </c>
      <c r="I308" s="131">
        <v>717886734.08789802</v>
      </c>
      <c r="J308" s="131">
        <v>909056973.81117857</v>
      </c>
      <c r="K308" s="131">
        <v>2062821492.2307162</v>
      </c>
      <c r="L308" s="131">
        <v>854408577.0449543</v>
      </c>
      <c r="M308" s="131">
        <v>2069682768.2924962</v>
      </c>
      <c r="N308" s="131">
        <v>6037251083.2487221</v>
      </c>
      <c r="O308" s="131">
        <v>1773904087.466177</v>
      </c>
      <c r="P308" s="131">
        <v>1861798634.473289</v>
      </c>
      <c r="Q308" s="131">
        <v>724577291.52880228</v>
      </c>
      <c r="R308" s="131">
        <v>8173661810.3832483</v>
      </c>
      <c r="S308" s="131">
        <v>1152837108.3006463</v>
      </c>
      <c r="T308" s="131">
        <v>2002787719.5172188</v>
      </c>
      <c r="U308" s="131">
        <v>9353763742.9414577</v>
      </c>
      <c r="V308" s="131">
        <v>4002425095.9050312</v>
      </c>
      <c r="W308" s="131">
        <v>11651846546.546947</v>
      </c>
      <c r="X308" s="131">
        <v>1651428932.4866726</v>
      </c>
      <c r="Y308" s="131">
        <v>760891386.0536046</v>
      </c>
      <c r="Z308" s="131">
        <v>735656537.58727741</v>
      </c>
      <c r="AA308" s="131">
        <v>3628723219.0459123</v>
      </c>
      <c r="AB308" s="131">
        <v>3386066119.9127054</v>
      </c>
      <c r="AC308" s="131">
        <v>1093011804.7821198</v>
      </c>
      <c r="AD308" s="131">
        <v>1907715197.1011517</v>
      </c>
      <c r="AE308" s="131">
        <v>962430756.21618986</v>
      </c>
    </row>
    <row r="309" spans="1:31" x14ac:dyDescent="0.2">
      <c r="A309" s="48"/>
      <c r="B309" s="172">
        <v>4</v>
      </c>
      <c r="C309" s="115" t="s">
        <v>99</v>
      </c>
      <c r="D309" s="236"/>
      <c r="E309" s="67" t="s">
        <v>35</v>
      </c>
      <c r="F309" s="131"/>
      <c r="G309" s="131">
        <v>751644096.6292491</v>
      </c>
      <c r="H309" s="131">
        <v>2191465947.6889377</v>
      </c>
      <c r="I309" s="131">
        <v>717556964.58454144</v>
      </c>
      <c r="J309" s="131">
        <v>909573598.05050135</v>
      </c>
      <c r="K309" s="131">
        <v>2066430679.4326904</v>
      </c>
      <c r="L309" s="131">
        <v>851371504.87578309</v>
      </c>
      <c r="M309" s="131">
        <v>2036134620.6210198</v>
      </c>
      <c r="N309" s="131">
        <v>6033202683.8247051</v>
      </c>
      <c r="O309" s="131">
        <v>1781316501.3514626</v>
      </c>
      <c r="P309" s="131">
        <v>1856514247.9327095</v>
      </c>
      <c r="Q309" s="131">
        <v>726361302.11029506</v>
      </c>
      <c r="R309" s="131">
        <v>8221338204.1968794</v>
      </c>
      <c r="S309" s="131">
        <v>1161220197.9458635</v>
      </c>
      <c r="T309" s="131">
        <v>2040600890.0422273</v>
      </c>
      <c r="U309" s="131">
        <v>9373731662.1462517</v>
      </c>
      <c r="V309" s="131">
        <v>4012178077.6695619</v>
      </c>
      <c r="W309" s="131">
        <v>11618896377.990013</v>
      </c>
      <c r="X309" s="131">
        <v>1638571287.542352</v>
      </c>
      <c r="Y309" s="131">
        <v>754531306.17489851</v>
      </c>
      <c r="Z309" s="131">
        <v>736392369.01469123</v>
      </c>
      <c r="AA309" s="131">
        <v>3622342293.2707605</v>
      </c>
      <c r="AB309" s="131">
        <v>3403174629.5150442</v>
      </c>
      <c r="AC309" s="131">
        <v>1090127623.8218088</v>
      </c>
      <c r="AD309" s="131">
        <v>1909443834.7569063</v>
      </c>
      <c r="AE309" s="131">
        <v>963620645.93401706</v>
      </c>
    </row>
    <row r="310" spans="1:31" x14ac:dyDescent="0.2">
      <c r="A310" s="48"/>
      <c r="B310" s="172">
        <v>5</v>
      </c>
      <c r="C310" s="115" t="s">
        <v>100</v>
      </c>
      <c r="D310" s="236"/>
      <c r="E310" s="67" t="s">
        <v>35</v>
      </c>
      <c r="F310" s="178" t="s">
        <v>240</v>
      </c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</row>
    <row r="311" spans="1:31" x14ac:dyDescent="0.2">
      <c r="A311" s="48"/>
      <c r="B311" s="172">
        <v>6</v>
      </c>
      <c r="C311" s="115" t="s">
        <v>174</v>
      </c>
      <c r="D311" s="236"/>
      <c r="E311" s="67" t="s">
        <v>35</v>
      </c>
      <c r="F311" s="178" t="s">
        <v>240</v>
      </c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</row>
    <row r="312" spans="1:31" x14ac:dyDescent="0.2">
      <c r="E312" s="65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</row>
    <row r="313" spans="1:31" ht="15.75" x14ac:dyDescent="0.25">
      <c r="B313" s="58" t="s">
        <v>14</v>
      </c>
      <c r="C313" s="58" t="s">
        <v>13</v>
      </c>
      <c r="D313" s="76" t="s">
        <v>151</v>
      </c>
      <c r="E313" s="62" t="s">
        <v>7</v>
      </c>
      <c r="F313" s="143" t="s">
        <v>103</v>
      </c>
      <c r="G313" s="143" t="s">
        <v>104</v>
      </c>
      <c r="H313" s="143" t="s">
        <v>105</v>
      </c>
      <c r="I313" s="143" t="s">
        <v>106</v>
      </c>
      <c r="J313" s="143" t="s">
        <v>107</v>
      </c>
      <c r="K313" s="143" t="s">
        <v>108</v>
      </c>
      <c r="L313" s="143" t="s">
        <v>109</v>
      </c>
      <c r="M313" s="143" t="s">
        <v>110</v>
      </c>
      <c r="N313" s="143" t="s">
        <v>111</v>
      </c>
      <c r="O313" s="143" t="s">
        <v>112</v>
      </c>
      <c r="P313" s="143" t="s">
        <v>113</v>
      </c>
      <c r="Q313" s="143" t="s">
        <v>114</v>
      </c>
      <c r="R313" s="143" t="s">
        <v>115</v>
      </c>
      <c r="S313" s="143" t="s">
        <v>116</v>
      </c>
      <c r="T313" s="143" t="s">
        <v>117</v>
      </c>
      <c r="U313" s="143" t="s">
        <v>118</v>
      </c>
      <c r="V313" s="143" t="s">
        <v>119</v>
      </c>
      <c r="W313" s="143" t="s">
        <v>120</v>
      </c>
      <c r="X313" s="143" t="s">
        <v>121</v>
      </c>
      <c r="Y313" s="143" t="s">
        <v>122</v>
      </c>
      <c r="Z313" s="143" t="s">
        <v>123</v>
      </c>
      <c r="AA313" s="143" t="s">
        <v>124</v>
      </c>
      <c r="AB313" s="143" t="s">
        <v>125</v>
      </c>
      <c r="AC313" s="143" t="s">
        <v>126</v>
      </c>
      <c r="AD313" s="143" t="s">
        <v>127</v>
      </c>
      <c r="AE313" s="143" t="s">
        <v>153</v>
      </c>
    </row>
    <row r="314" spans="1:31" x14ac:dyDescent="0.2">
      <c r="A314" s="48"/>
      <c r="B314" s="172">
        <v>0</v>
      </c>
      <c r="C314" s="116" t="s">
        <v>15</v>
      </c>
      <c r="D314" s="236"/>
      <c r="E314" s="67" t="s">
        <v>35</v>
      </c>
      <c r="F314" s="131"/>
      <c r="G314" s="131">
        <v>3258495374.2670784</v>
      </c>
      <c r="H314" s="131">
        <v>19156087918.975864</v>
      </c>
      <c r="I314" s="131">
        <v>8201319030.851037</v>
      </c>
      <c r="J314" s="131">
        <v>4233269032.7671885</v>
      </c>
      <c r="K314" s="131">
        <v>3175624485.1099343</v>
      </c>
      <c r="L314" s="131">
        <v>11409431061.624329</v>
      </c>
      <c r="M314" s="131">
        <v>4272879736.2117448</v>
      </c>
      <c r="N314" s="131">
        <v>7200358585.7099018</v>
      </c>
      <c r="O314" s="131">
        <v>3447403834.9000006</v>
      </c>
      <c r="P314" s="131">
        <v>2483589123.13936</v>
      </c>
      <c r="Q314" s="131">
        <v>819572000.49030495</v>
      </c>
      <c r="R314" s="131">
        <v>10881578235.199768</v>
      </c>
      <c r="S314" s="131">
        <v>2172496409.9450336</v>
      </c>
      <c r="T314" s="131">
        <v>673366399.02586472</v>
      </c>
      <c r="U314" s="131">
        <v>1202930277.7848296</v>
      </c>
      <c r="V314" s="131">
        <v>1258487322.8836148</v>
      </c>
      <c r="W314" s="131">
        <v>11200805882.304737</v>
      </c>
      <c r="X314" s="131">
        <v>2502754878.9012356</v>
      </c>
      <c r="Y314" s="131">
        <v>1210042368.824297</v>
      </c>
      <c r="Z314" s="131">
        <v>1243912781.1225138</v>
      </c>
      <c r="AA314" s="131">
        <v>3592394324.8618555</v>
      </c>
      <c r="AB314" s="131">
        <v>3638567394.097558</v>
      </c>
      <c r="AC314" s="131">
        <v>794505233.46390319</v>
      </c>
      <c r="AD314" s="131">
        <v>592879207.36534309</v>
      </c>
      <c r="AE314" s="131">
        <v>579339997.43234909</v>
      </c>
    </row>
    <row r="315" spans="1:31" x14ac:dyDescent="0.2">
      <c r="A315" s="48"/>
      <c r="B315" s="172">
        <v>1</v>
      </c>
      <c r="C315" s="115" t="s">
        <v>96</v>
      </c>
      <c r="D315" s="236"/>
      <c r="E315" s="67" t="s">
        <v>35</v>
      </c>
      <c r="F315" s="131"/>
      <c r="G315" s="131">
        <v>3200828171.4480577</v>
      </c>
      <c r="H315" s="131">
        <v>19018192026.439922</v>
      </c>
      <c r="I315" s="131">
        <v>8171181127.3837643</v>
      </c>
      <c r="J315" s="131">
        <v>4264560035.1063504</v>
      </c>
      <c r="K315" s="131">
        <v>3160485855.1492481</v>
      </c>
      <c r="L315" s="131">
        <v>10838339131.245123</v>
      </c>
      <c r="M315" s="131">
        <v>4414997226.7964811</v>
      </c>
      <c r="N315" s="131">
        <v>7255281660.774826</v>
      </c>
      <c r="O315" s="131">
        <v>3755160780.5138674</v>
      </c>
      <c r="P315" s="131">
        <v>2985792396.0578761</v>
      </c>
      <c r="Q315" s="131">
        <v>827462113.91010261</v>
      </c>
      <c r="R315" s="131">
        <v>10353259657.04195</v>
      </c>
      <c r="S315" s="131">
        <v>2324322202.0264392</v>
      </c>
      <c r="T315" s="131">
        <v>676824349.53922772</v>
      </c>
      <c r="U315" s="131">
        <v>1230308597.6180141</v>
      </c>
      <c r="V315" s="131">
        <v>1205177686.8912556</v>
      </c>
      <c r="W315" s="131">
        <v>11163615798.994364</v>
      </c>
      <c r="X315" s="131">
        <v>2526136623.3670788</v>
      </c>
      <c r="Y315" s="131">
        <v>1185641070.3215222</v>
      </c>
      <c r="Z315" s="131">
        <v>1261853318.8596253</v>
      </c>
      <c r="AA315" s="131">
        <v>3632382766.5446458</v>
      </c>
      <c r="AB315" s="131">
        <v>3624521838.9015851</v>
      </c>
      <c r="AC315" s="131">
        <v>804872711.77222049</v>
      </c>
      <c r="AD315" s="131">
        <v>597130555.67203593</v>
      </c>
      <c r="AE315" s="131">
        <v>579453963.90430462</v>
      </c>
    </row>
    <row r="316" spans="1:31" x14ac:dyDescent="0.2">
      <c r="A316" s="48"/>
      <c r="B316" s="172">
        <v>2</v>
      </c>
      <c r="C316" s="115" t="s">
        <v>97</v>
      </c>
      <c r="D316" s="236"/>
      <c r="E316" s="67" t="s">
        <v>35</v>
      </c>
      <c r="F316" s="131"/>
      <c r="G316" s="131">
        <v>3200828171.4480577</v>
      </c>
      <c r="H316" s="131">
        <v>19018192026.439922</v>
      </c>
      <c r="I316" s="131">
        <v>8171181127.3837643</v>
      </c>
      <c r="J316" s="131">
        <v>4264560035.1063504</v>
      </c>
      <c r="K316" s="131">
        <v>3160485855.1492481</v>
      </c>
      <c r="L316" s="131">
        <v>10838339131.245123</v>
      </c>
      <c r="M316" s="131">
        <v>4414997226.7964811</v>
      </c>
      <c r="N316" s="131">
        <v>7255281660.774826</v>
      </c>
      <c r="O316" s="131">
        <v>3755160780.5138674</v>
      </c>
      <c r="P316" s="131">
        <v>2985792396.0578761</v>
      </c>
      <c r="Q316" s="131">
        <v>827462113.91010261</v>
      </c>
      <c r="R316" s="131">
        <v>10353259657.04195</v>
      </c>
      <c r="S316" s="131">
        <v>2324322202.0264392</v>
      </c>
      <c r="T316" s="131">
        <v>676824349.53922772</v>
      </c>
      <c r="U316" s="131">
        <v>1230308597.6180141</v>
      </c>
      <c r="V316" s="131">
        <v>1205177686.8912556</v>
      </c>
      <c r="W316" s="131">
        <v>11163615798.994364</v>
      </c>
      <c r="X316" s="131">
        <v>2526136623.3670788</v>
      </c>
      <c r="Y316" s="131">
        <v>1185641070.3215222</v>
      </c>
      <c r="Z316" s="131">
        <v>1261853318.8596253</v>
      </c>
      <c r="AA316" s="131">
        <v>3632382766.5446458</v>
      </c>
      <c r="AB316" s="131">
        <v>3624521838.9015851</v>
      </c>
      <c r="AC316" s="131">
        <v>804872711.77222049</v>
      </c>
      <c r="AD316" s="131">
        <v>597130555.67203593</v>
      </c>
      <c r="AE316" s="131">
        <v>579453963.90430462</v>
      </c>
    </row>
    <row r="317" spans="1:31" x14ac:dyDescent="0.2">
      <c r="A317" s="48"/>
      <c r="B317" s="172">
        <v>3</v>
      </c>
      <c r="C317" s="115" t="s">
        <v>98</v>
      </c>
      <c r="D317" s="236"/>
      <c r="E317" s="67" t="s">
        <v>35</v>
      </c>
      <c r="F317" s="131"/>
      <c r="G317" s="131">
        <v>3200051794.7735624</v>
      </c>
      <c r="H317" s="131">
        <v>19012537260.227947</v>
      </c>
      <c r="I317" s="131">
        <v>8171177825.8361244</v>
      </c>
      <c r="J317" s="131">
        <v>4264657666.2426019</v>
      </c>
      <c r="K317" s="131">
        <v>3155119067.7045426</v>
      </c>
      <c r="L317" s="131">
        <v>10829424392.843349</v>
      </c>
      <c r="M317" s="131">
        <v>4418521021.8997192</v>
      </c>
      <c r="N317" s="131">
        <v>7240037888.4183884</v>
      </c>
      <c r="O317" s="131">
        <v>3760891272.4974537</v>
      </c>
      <c r="P317" s="131">
        <v>3001810577.1133466</v>
      </c>
      <c r="Q317" s="131">
        <v>827225046.33581543</v>
      </c>
      <c r="R317" s="131">
        <v>10346596021.917492</v>
      </c>
      <c r="S317" s="131">
        <v>2316954959.0602336</v>
      </c>
      <c r="T317" s="131">
        <v>676768781.90229321</v>
      </c>
      <c r="U317" s="131">
        <v>1240252863.0566123</v>
      </c>
      <c r="V317" s="131">
        <v>1198997503.9050126</v>
      </c>
      <c r="W317" s="131">
        <v>11158430041.555687</v>
      </c>
      <c r="X317" s="131">
        <v>2526556076.8485508</v>
      </c>
      <c r="Y317" s="131">
        <v>1180074687.6791377</v>
      </c>
      <c r="Z317" s="131">
        <v>1262102701.6270459</v>
      </c>
      <c r="AA317" s="131">
        <v>3641709068.8511567</v>
      </c>
      <c r="AB317" s="131">
        <v>3621848853.1878219</v>
      </c>
      <c r="AC317" s="131">
        <v>803128388.19644916</v>
      </c>
      <c r="AD317" s="131">
        <v>597464117.95924795</v>
      </c>
      <c r="AE317" s="131">
        <v>579519513.59050441</v>
      </c>
    </row>
    <row r="318" spans="1:31" x14ac:dyDescent="0.2">
      <c r="A318" s="48"/>
      <c r="B318" s="172">
        <v>4</v>
      </c>
      <c r="C318" s="115" t="s">
        <v>99</v>
      </c>
      <c r="D318" s="236"/>
      <c r="E318" s="67" t="s">
        <v>35</v>
      </c>
      <c r="F318" s="131"/>
      <c r="G318" s="131">
        <v>3244108989.7930207</v>
      </c>
      <c r="H318" s="131">
        <v>19177487241.949528</v>
      </c>
      <c r="I318" s="131">
        <v>8175447524.2199936</v>
      </c>
      <c r="J318" s="131">
        <v>4228433450.0952368</v>
      </c>
      <c r="K318" s="131">
        <v>3167553420.5669665</v>
      </c>
      <c r="L318" s="131">
        <v>11310809306.228657</v>
      </c>
      <c r="M318" s="131">
        <v>4313298671.4842205</v>
      </c>
      <c r="N318" s="131">
        <v>7236074671.7524748</v>
      </c>
      <c r="O318" s="131">
        <v>3437977717.963635</v>
      </c>
      <c r="P318" s="131">
        <v>2528656741.3778434</v>
      </c>
      <c r="Q318" s="131">
        <v>825962784.03247488</v>
      </c>
      <c r="R318" s="131">
        <v>10810747163.906599</v>
      </c>
      <c r="S318" s="131">
        <v>2172412376.0963326</v>
      </c>
      <c r="T318" s="131">
        <v>673738285.55749416</v>
      </c>
      <c r="U318" s="131">
        <v>1210013803.927011</v>
      </c>
      <c r="V318" s="131">
        <v>1265814316.9962037</v>
      </c>
      <c r="W318" s="131">
        <v>11197879116.021168</v>
      </c>
      <c r="X318" s="131">
        <v>2501731869.1594591</v>
      </c>
      <c r="Y318" s="131">
        <v>1212922870.5495048</v>
      </c>
      <c r="Z318" s="131">
        <v>1243325509.9891114</v>
      </c>
      <c r="AA318" s="131">
        <v>3601653758.1864648</v>
      </c>
      <c r="AB318" s="131">
        <v>3641738221.9647298</v>
      </c>
      <c r="AC318" s="131">
        <v>792540794.15664637</v>
      </c>
      <c r="AD318" s="131">
        <v>592820706.77795923</v>
      </c>
      <c r="AE318" s="131">
        <v>579272520.1695255</v>
      </c>
    </row>
    <row r="319" spans="1:31" x14ac:dyDescent="0.2">
      <c r="A319" s="48"/>
      <c r="B319" s="172">
        <v>5</v>
      </c>
      <c r="C319" s="115" t="s">
        <v>100</v>
      </c>
      <c r="D319" s="236"/>
      <c r="E319" s="67" t="s">
        <v>35</v>
      </c>
      <c r="F319" s="178" t="s">
        <v>240</v>
      </c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</row>
    <row r="320" spans="1:31" x14ac:dyDescent="0.2">
      <c r="A320" s="48"/>
      <c r="B320" s="172">
        <v>6</v>
      </c>
      <c r="C320" s="115" t="s">
        <v>174</v>
      </c>
      <c r="D320" s="236"/>
      <c r="E320" s="67" t="s">
        <v>35</v>
      </c>
      <c r="F320" s="178" t="s">
        <v>240</v>
      </c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</row>
    <row r="321" spans="1:31" x14ac:dyDescent="0.2">
      <c r="E321" s="65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</row>
    <row r="322" spans="1:31" ht="15.75" x14ac:dyDescent="0.25">
      <c r="B322" s="58" t="s">
        <v>14</v>
      </c>
      <c r="C322" s="58" t="s">
        <v>13</v>
      </c>
      <c r="D322" s="76" t="s">
        <v>152</v>
      </c>
      <c r="E322" s="62" t="s">
        <v>7</v>
      </c>
      <c r="F322" s="143" t="s">
        <v>103</v>
      </c>
      <c r="G322" s="143" t="s">
        <v>104</v>
      </c>
      <c r="H322" s="143" t="s">
        <v>105</v>
      </c>
      <c r="I322" s="143" t="s">
        <v>106</v>
      </c>
      <c r="J322" s="143" t="s">
        <v>107</v>
      </c>
      <c r="K322" s="143" t="s">
        <v>108</v>
      </c>
      <c r="L322" s="143" t="s">
        <v>109</v>
      </c>
      <c r="M322" s="143" t="s">
        <v>110</v>
      </c>
      <c r="N322" s="143" t="s">
        <v>111</v>
      </c>
      <c r="O322" s="143" t="s">
        <v>112</v>
      </c>
      <c r="P322" s="143" t="s">
        <v>113</v>
      </c>
      <c r="Q322" s="143" t="s">
        <v>114</v>
      </c>
      <c r="R322" s="143" t="s">
        <v>115</v>
      </c>
      <c r="S322" s="143" t="s">
        <v>116</v>
      </c>
      <c r="T322" s="143" t="s">
        <v>117</v>
      </c>
      <c r="U322" s="143" t="s">
        <v>118</v>
      </c>
      <c r="V322" s="143" t="s">
        <v>119</v>
      </c>
      <c r="W322" s="143" t="s">
        <v>120</v>
      </c>
      <c r="X322" s="143" t="s">
        <v>121</v>
      </c>
      <c r="Y322" s="143" t="s">
        <v>122</v>
      </c>
      <c r="Z322" s="143" t="s">
        <v>123</v>
      </c>
      <c r="AA322" s="143" t="s">
        <v>124</v>
      </c>
      <c r="AB322" s="143" t="s">
        <v>125</v>
      </c>
      <c r="AC322" s="143" t="s">
        <v>126</v>
      </c>
      <c r="AD322" s="143" t="s">
        <v>127</v>
      </c>
      <c r="AE322" s="143" t="s">
        <v>153</v>
      </c>
    </row>
    <row r="323" spans="1:31" x14ac:dyDescent="0.2">
      <c r="A323" s="48"/>
      <c r="B323" s="172">
        <v>0</v>
      </c>
      <c r="C323" s="116" t="s">
        <v>15</v>
      </c>
      <c r="D323" s="236"/>
      <c r="E323" s="67" t="s">
        <v>35</v>
      </c>
      <c r="F323" s="131"/>
      <c r="G323" s="131">
        <v>716137702.89124095</v>
      </c>
      <c r="H323" s="131">
        <v>698252506.36284137</v>
      </c>
      <c r="I323" s="131">
        <v>784922539.45749176</v>
      </c>
      <c r="J323" s="131">
        <v>1306814272.9682922</v>
      </c>
      <c r="K323" s="131">
        <v>1502927826.3373744</v>
      </c>
      <c r="L323" s="131">
        <v>1183824206.9332335</v>
      </c>
      <c r="M323" s="131">
        <v>1007886203.3189392</v>
      </c>
      <c r="N323" s="131">
        <v>3500624474.3512206</v>
      </c>
      <c r="O323" s="131">
        <v>615102607.35917795</v>
      </c>
      <c r="P323" s="131">
        <v>602244960.71993697</v>
      </c>
      <c r="Q323" s="131">
        <v>607180520.783252</v>
      </c>
      <c r="R323" s="131">
        <v>603721613.09821272</v>
      </c>
      <c r="S323" s="131">
        <v>611776620.41734278</v>
      </c>
      <c r="T323" s="131">
        <v>626309180.52560425</v>
      </c>
      <c r="U323" s="131">
        <v>3916308168.3874278</v>
      </c>
      <c r="V323" s="131">
        <v>824388146.57248092</v>
      </c>
      <c r="W323" s="131">
        <v>7769436467.1912575</v>
      </c>
      <c r="X323" s="131">
        <v>942076322.85068035</v>
      </c>
      <c r="Y323" s="131">
        <v>977319814.44758999</v>
      </c>
      <c r="Z323" s="131">
        <v>2722000091.2295623</v>
      </c>
      <c r="AA323" s="131">
        <v>3860307658.8116961</v>
      </c>
      <c r="AB323" s="131">
        <v>3620165197.755199</v>
      </c>
      <c r="AC323" s="131">
        <v>1328429951.6669335</v>
      </c>
      <c r="AD323" s="131">
        <v>1119508043.7756004</v>
      </c>
      <c r="AE323" s="131">
        <v>903558080.64880824</v>
      </c>
    </row>
    <row r="324" spans="1:31" x14ac:dyDescent="0.2">
      <c r="A324" s="48"/>
      <c r="B324" s="172">
        <v>1</v>
      </c>
      <c r="C324" s="115" t="s">
        <v>96</v>
      </c>
      <c r="D324" s="236"/>
      <c r="E324" s="67" t="s">
        <v>35</v>
      </c>
      <c r="F324" s="131"/>
      <c r="G324" s="131">
        <v>716134846.42614615</v>
      </c>
      <c r="H324" s="131">
        <v>698248602.4059037</v>
      </c>
      <c r="I324" s="131">
        <v>711896128.5650661</v>
      </c>
      <c r="J324" s="131">
        <v>1306468741.2767432</v>
      </c>
      <c r="K324" s="131">
        <v>1503493429.608763</v>
      </c>
      <c r="L324" s="131">
        <v>1185046289.3317142</v>
      </c>
      <c r="M324" s="131">
        <v>1009215655.2495817</v>
      </c>
      <c r="N324" s="131">
        <v>3500884737.5559402</v>
      </c>
      <c r="O324" s="131">
        <v>618634971.96441019</v>
      </c>
      <c r="P324" s="131">
        <v>605749765.16107047</v>
      </c>
      <c r="Q324" s="131">
        <v>612263144.02837551</v>
      </c>
      <c r="R324" s="131">
        <v>608755904.87693846</v>
      </c>
      <c r="S324" s="131">
        <v>616525179.07093632</v>
      </c>
      <c r="T324" s="131">
        <v>630779949.88431132</v>
      </c>
      <c r="U324" s="131">
        <v>3855936358.14853</v>
      </c>
      <c r="V324" s="131">
        <v>841647107.28020215</v>
      </c>
      <c r="W324" s="131">
        <v>7664209067.545784</v>
      </c>
      <c r="X324" s="131">
        <v>993622804.15354538</v>
      </c>
      <c r="Y324" s="131">
        <v>920584905.56804121</v>
      </c>
      <c r="Z324" s="131">
        <v>2792144324.5718527</v>
      </c>
      <c r="AA324" s="131">
        <v>3848449749.2346916</v>
      </c>
      <c r="AB324" s="131">
        <v>3638533757.0645294</v>
      </c>
      <c r="AC324" s="131">
        <v>1347810566.0642304</v>
      </c>
      <c r="AD324" s="131">
        <v>1127958423.499095</v>
      </c>
      <c r="AE324" s="131">
        <v>911119474.29975319</v>
      </c>
    </row>
    <row r="325" spans="1:31" x14ac:dyDescent="0.2">
      <c r="A325" s="48"/>
      <c r="B325" s="172">
        <v>2</v>
      </c>
      <c r="C325" s="115" t="s">
        <v>97</v>
      </c>
      <c r="D325" s="236"/>
      <c r="E325" s="67" t="s">
        <v>35</v>
      </c>
      <c r="F325" s="131"/>
      <c r="G325" s="131">
        <v>716134846.42614615</v>
      </c>
      <c r="H325" s="131">
        <v>698248602.4059037</v>
      </c>
      <c r="I325" s="131">
        <v>711896128.5650661</v>
      </c>
      <c r="J325" s="131">
        <v>1306468741.2767432</v>
      </c>
      <c r="K325" s="131">
        <v>1503493429.608763</v>
      </c>
      <c r="L325" s="131">
        <v>1185046289.3317142</v>
      </c>
      <c r="M325" s="131">
        <v>1009215655.2495817</v>
      </c>
      <c r="N325" s="131">
        <v>3500884737.5559402</v>
      </c>
      <c r="O325" s="131">
        <v>618634971.96441019</v>
      </c>
      <c r="P325" s="131">
        <v>605749765.16107047</v>
      </c>
      <c r="Q325" s="131">
        <v>612263144.02837551</v>
      </c>
      <c r="R325" s="131">
        <v>608755904.87693846</v>
      </c>
      <c r="S325" s="131">
        <v>616525179.07093632</v>
      </c>
      <c r="T325" s="131">
        <v>630779949.88431132</v>
      </c>
      <c r="U325" s="131">
        <v>3855936358.14853</v>
      </c>
      <c r="V325" s="131">
        <v>841647107.28020215</v>
      </c>
      <c r="W325" s="131">
        <v>7664209067.545784</v>
      </c>
      <c r="X325" s="131">
        <v>993622804.15354538</v>
      </c>
      <c r="Y325" s="131">
        <v>920584905.56804121</v>
      </c>
      <c r="Z325" s="131">
        <v>2792144324.5718527</v>
      </c>
      <c r="AA325" s="131">
        <v>3848449749.2346916</v>
      </c>
      <c r="AB325" s="131">
        <v>3638533757.0645294</v>
      </c>
      <c r="AC325" s="131">
        <v>1347810566.0642304</v>
      </c>
      <c r="AD325" s="131">
        <v>1127958423.499095</v>
      </c>
      <c r="AE325" s="131">
        <v>911119474.29975319</v>
      </c>
    </row>
    <row r="326" spans="1:31" x14ac:dyDescent="0.2">
      <c r="A326" s="48"/>
      <c r="B326" s="172">
        <v>3</v>
      </c>
      <c r="C326" s="115" t="s">
        <v>98</v>
      </c>
      <c r="D326" s="236"/>
      <c r="E326" s="67" t="s">
        <v>35</v>
      </c>
      <c r="F326" s="131"/>
      <c r="G326" s="131">
        <v>716113111.18948317</v>
      </c>
      <c r="H326" s="131">
        <v>698216468.65353727</v>
      </c>
      <c r="I326" s="131">
        <v>711893926.36103415</v>
      </c>
      <c r="J326" s="131">
        <v>1306381208.0600636</v>
      </c>
      <c r="K326" s="131">
        <v>1503448066.3793631</v>
      </c>
      <c r="L326" s="131">
        <v>1185001363.9849703</v>
      </c>
      <c r="M326" s="131">
        <v>1009213984.9438857</v>
      </c>
      <c r="N326" s="131">
        <v>3500782130.7069445</v>
      </c>
      <c r="O326" s="131">
        <v>618577522.99387312</v>
      </c>
      <c r="P326" s="131">
        <v>605697457.70623994</v>
      </c>
      <c r="Q326" s="131">
        <v>612186387.61339748</v>
      </c>
      <c r="R326" s="131">
        <v>608868049.36698222</v>
      </c>
      <c r="S326" s="131">
        <v>616642852.2170527</v>
      </c>
      <c r="T326" s="131">
        <v>630786587.14668274</v>
      </c>
      <c r="U326" s="131">
        <v>3852697846.7792387</v>
      </c>
      <c r="V326" s="131">
        <v>842213130.37666225</v>
      </c>
      <c r="W326" s="131">
        <v>7652649765.1129246</v>
      </c>
      <c r="X326" s="131">
        <v>999040207.47579813</v>
      </c>
      <c r="Y326" s="131">
        <v>916812413.18331313</v>
      </c>
      <c r="Z326" s="131">
        <v>2798193076.0928869</v>
      </c>
      <c r="AA326" s="131">
        <v>3850186045.9159832</v>
      </c>
      <c r="AB326" s="131">
        <v>3637283259.462512</v>
      </c>
      <c r="AC326" s="131">
        <v>1345800350.9729486</v>
      </c>
      <c r="AD326" s="131">
        <v>1127265856.4133317</v>
      </c>
      <c r="AE326" s="131">
        <v>911525245.80348194</v>
      </c>
    </row>
    <row r="327" spans="1:31" x14ac:dyDescent="0.2">
      <c r="A327" s="48"/>
      <c r="B327" s="172">
        <v>4</v>
      </c>
      <c r="C327" s="115" t="s">
        <v>99</v>
      </c>
      <c r="D327" s="236"/>
      <c r="E327" s="67" t="s">
        <v>35</v>
      </c>
      <c r="F327" s="131"/>
      <c r="G327" s="131">
        <v>716114770.98128736</v>
      </c>
      <c r="H327" s="131">
        <v>698218943.41790116</v>
      </c>
      <c r="I327" s="131">
        <v>744337540.41367722</v>
      </c>
      <c r="J327" s="131">
        <v>1306651112.2043455</v>
      </c>
      <c r="K327" s="131">
        <v>1502882863.4342666</v>
      </c>
      <c r="L327" s="131">
        <v>1183750170.4339654</v>
      </c>
      <c r="M327" s="131">
        <v>1007776797.9979724</v>
      </c>
      <c r="N327" s="131">
        <v>3500523611.4421477</v>
      </c>
      <c r="O327" s="131">
        <v>615073986.23979628</v>
      </c>
      <c r="P327" s="131">
        <v>602220820.15405071</v>
      </c>
      <c r="Q327" s="131">
        <v>607159311.75956059</v>
      </c>
      <c r="R327" s="131">
        <v>603719811.31623578</v>
      </c>
      <c r="S327" s="131">
        <v>611817720.31251609</v>
      </c>
      <c r="T327" s="131">
        <v>626271900.56160665</v>
      </c>
      <c r="U327" s="131">
        <v>3935512721.238863</v>
      </c>
      <c r="V327" s="131">
        <v>824174710.74047995</v>
      </c>
      <c r="W327" s="131">
        <v>7741214732.2504196</v>
      </c>
      <c r="X327" s="131">
        <v>962735171.26860714</v>
      </c>
      <c r="Y327" s="131">
        <v>968296582.79322457</v>
      </c>
      <c r="Z327" s="131">
        <v>2722930291.9752064</v>
      </c>
      <c r="AA327" s="131">
        <v>3865050030.2425923</v>
      </c>
      <c r="AB327" s="131">
        <v>3621165968.0574493</v>
      </c>
      <c r="AC327" s="131">
        <v>1330451745.3721206</v>
      </c>
      <c r="AD327" s="131">
        <v>1118621479.6202946</v>
      </c>
      <c r="AE327" s="131">
        <v>904209397.86403286</v>
      </c>
    </row>
    <row r="328" spans="1:31" x14ac:dyDescent="0.2">
      <c r="A328" s="48"/>
      <c r="B328" s="172">
        <v>5</v>
      </c>
      <c r="C328" s="115" t="s">
        <v>100</v>
      </c>
      <c r="D328" s="236"/>
      <c r="E328" s="67" t="s">
        <v>35</v>
      </c>
      <c r="F328" s="178" t="s">
        <v>240</v>
      </c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</row>
    <row r="329" spans="1:31" x14ac:dyDescent="0.2">
      <c r="A329" s="48"/>
      <c r="B329" s="172">
        <v>6</v>
      </c>
      <c r="C329" s="115" t="s">
        <v>174</v>
      </c>
      <c r="D329" s="236"/>
      <c r="E329" s="67" t="s">
        <v>35</v>
      </c>
      <c r="F329" s="178" t="s">
        <v>240</v>
      </c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</row>
    <row r="330" spans="1:31" x14ac:dyDescent="0.2">
      <c r="E330" s="65"/>
    </row>
    <row r="331" spans="1:31" ht="15.75" x14ac:dyDescent="0.25">
      <c r="B331" s="58" t="s">
        <v>14</v>
      </c>
      <c r="C331" s="58" t="s">
        <v>13</v>
      </c>
      <c r="D331" s="76" t="s">
        <v>202</v>
      </c>
      <c r="E331" s="62" t="s">
        <v>7</v>
      </c>
      <c r="F331" s="143" t="s">
        <v>103</v>
      </c>
      <c r="G331" s="143" t="s">
        <v>104</v>
      </c>
      <c r="H331" s="143" t="s">
        <v>105</v>
      </c>
      <c r="I331" s="143" t="s">
        <v>106</v>
      </c>
      <c r="J331" s="143" t="s">
        <v>107</v>
      </c>
      <c r="K331" s="143" t="s">
        <v>108</v>
      </c>
      <c r="L331" s="143" t="s">
        <v>109</v>
      </c>
      <c r="M331" s="143" t="s">
        <v>110</v>
      </c>
      <c r="N331" s="143" t="s">
        <v>111</v>
      </c>
      <c r="O331" s="143" t="s">
        <v>112</v>
      </c>
      <c r="P331" s="143" t="s">
        <v>113</v>
      </c>
      <c r="Q331" s="143" t="s">
        <v>114</v>
      </c>
      <c r="R331" s="143" t="s">
        <v>115</v>
      </c>
      <c r="S331" s="143" t="s">
        <v>116</v>
      </c>
      <c r="T331" s="143" t="s">
        <v>117</v>
      </c>
      <c r="U331" s="143" t="s">
        <v>118</v>
      </c>
      <c r="V331" s="143" t="s">
        <v>119</v>
      </c>
      <c r="W331" s="143" t="s">
        <v>120</v>
      </c>
      <c r="X331" s="143" t="s">
        <v>121</v>
      </c>
      <c r="Y331" s="143" t="s">
        <v>122</v>
      </c>
      <c r="Z331" s="143" t="s">
        <v>123</v>
      </c>
      <c r="AA331" s="143" t="s">
        <v>124</v>
      </c>
      <c r="AB331" s="143" t="s">
        <v>125</v>
      </c>
      <c r="AC331" s="143" t="s">
        <v>126</v>
      </c>
      <c r="AD331" s="143" t="s">
        <v>127</v>
      </c>
      <c r="AE331" s="143" t="s">
        <v>153</v>
      </c>
    </row>
    <row r="332" spans="1:31" x14ac:dyDescent="0.2">
      <c r="A332" s="48"/>
      <c r="B332" s="172">
        <v>0</v>
      </c>
      <c r="C332" s="116" t="s">
        <v>15</v>
      </c>
      <c r="D332" s="236"/>
      <c r="E332" s="67" t="s">
        <v>35</v>
      </c>
      <c r="F332" s="131"/>
      <c r="G332" s="123">
        <v>1359779450.0938821</v>
      </c>
      <c r="H332" s="123">
        <v>2512443655.0887947</v>
      </c>
      <c r="I332" s="123">
        <v>2225856943.6765194</v>
      </c>
      <c r="J332" s="123">
        <v>786149061.0568738</v>
      </c>
      <c r="K332" s="123">
        <v>714512344.13537455</v>
      </c>
      <c r="L332" s="123">
        <v>2236943075.9042802</v>
      </c>
      <c r="M332" s="123">
        <v>1613499822.5660906</v>
      </c>
      <c r="N332" s="123">
        <v>4784059909.1264849</v>
      </c>
      <c r="O332" s="123">
        <v>3362803178.4240594</v>
      </c>
      <c r="P332" s="123">
        <v>7665620747.9650631</v>
      </c>
      <c r="Q332" s="123">
        <v>1832696496.8874977</v>
      </c>
      <c r="R332" s="123">
        <v>7558527925.1048946</v>
      </c>
      <c r="S332" s="123">
        <v>5802825078.8275003</v>
      </c>
      <c r="T332" s="123">
        <v>5800132080.6151352</v>
      </c>
      <c r="U332" s="123">
        <v>4953919442.5671883</v>
      </c>
      <c r="V332" s="123">
        <v>3573613598.7077498</v>
      </c>
      <c r="W332" s="123">
        <v>6287916166.8111248</v>
      </c>
      <c r="X332" s="123">
        <v>1855165865.8660848</v>
      </c>
      <c r="Y332" s="123">
        <v>840871724.00368357</v>
      </c>
      <c r="Z332" s="123">
        <v>2043205968.3198164</v>
      </c>
      <c r="AA332" s="123">
        <v>4696754136.9861212</v>
      </c>
      <c r="AB332" s="123">
        <v>3970625308.1471672</v>
      </c>
      <c r="AC332" s="123">
        <v>975674138.35517824</v>
      </c>
      <c r="AD332" s="123">
        <v>1550097372.7669971</v>
      </c>
      <c r="AE332" s="123">
        <v>1031178921.8068136</v>
      </c>
    </row>
    <row r="333" spans="1:31" x14ac:dyDescent="0.2">
      <c r="A333" s="48"/>
      <c r="B333" s="172">
        <v>1</v>
      </c>
      <c r="C333" s="115" t="s">
        <v>96</v>
      </c>
      <c r="D333" s="236"/>
      <c r="E333" s="67" t="s">
        <v>35</v>
      </c>
      <c r="F333" s="131"/>
      <c r="G333" s="123">
        <v>1359782554.0018413</v>
      </c>
      <c r="H333" s="123">
        <v>2512450969.015439</v>
      </c>
      <c r="I333" s="123">
        <v>2226556085.7625093</v>
      </c>
      <c r="J333" s="123">
        <v>826183798.0598644</v>
      </c>
      <c r="K333" s="123">
        <v>715916828.45161939</v>
      </c>
      <c r="L333" s="123">
        <v>1818374503.2657037</v>
      </c>
      <c r="M333" s="123">
        <v>1743127797.0493135</v>
      </c>
      <c r="N333" s="123">
        <v>4844397509.4575567</v>
      </c>
      <c r="O333" s="123">
        <v>3388572354.0908508</v>
      </c>
      <c r="P333" s="123">
        <v>7566383750.9524803</v>
      </c>
      <c r="Q333" s="123">
        <v>1780386293.0076566</v>
      </c>
      <c r="R333" s="123">
        <v>7480948101.2168608</v>
      </c>
      <c r="S333" s="123">
        <v>5808896072.9100275</v>
      </c>
      <c r="T333" s="123">
        <v>6025817427.9285822</v>
      </c>
      <c r="U333" s="123">
        <v>4814890233.4695425</v>
      </c>
      <c r="V333" s="123">
        <v>3533014034.1633797</v>
      </c>
      <c r="W333" s="123">
        <v>6419002782.3285723</v>
      </c>
      <c r="X333" s="123">
        <v>1904779570.118938</v>
      </c>
      <c r="Y333" s="123">
        <v>822440167.07998312</v>
      </c>
      <c r="Z333" s="123">
        <v>2003021870.3189268</v>
      </c>
      <c r="AA333" s="123">
        <v>4703553715.9655161</v>
      </c>
      <c r="AB333" s="123">
        <v>3989808814.7481508</v>
      </c>
      <c r="AC333" s="123">
        <v>982607717.65980399</v>
      </c>
      <c r="AD333" s="123">
        <v>1544679108.5467544</v>
      </c>
      <c r="AE333" s="123">
        <v>1045350924.5096662</v>
      </c>
    </row>
    <row r="334" spans="1:31" x14ac:dyDescent="0.2">
      <c r="A334" s="48"/>
      <c r="B334" s="172">
        <v>2</v>
      </c>
      <c r="C334" s="115" t="s">
        <v>97</v>
      </c>
      <c r="D334" s="236"/>
      <c r="E334" s="67" t="s">
        <v>35</v>
      </c>
      <c r="F334" s="131"/>
      <c r="G334" s="123">
        <v>1359782554.0018413</v>
      </c>
      <c r="H334" s="123">
        <v>2512450969.015439</v>
      </c>
      <c r="I334" s="123">
        <v>2226556085.7625093</v>
      </c>
      <c r="J334" s="123">
        <v>826183798.0598644</v>
      </c>
      <c r="K334" s="123">
        <v>715916828.45161939</v>
      </c>
      <c r="L334" s="123">
        <v>1818374503.2657037</v>
      </c>
      <c r="M334" s="123">
        <v>1743127797.0493135</v>
      </c>
      <c r="N334" s="123">
        <v>4844397509.4575567</v>
      </c>
      <c r="O334" s="123">
        <v>3388572354.0908508</v>
      </c>
      <c r="P334" s="123">
        <v>7566383750.9524803</v>
      </c>
      <c r="Q334" s="123">
        <v>1780386293.0076566</v>
      </c>
      <c r="R334" s="123">
        <v>7480948101.2168608</v>
      </c>
      <c r="S334" s="123">
        <v>5808896072.9100275</v>
      </c>
      <c r="T334" s="123">
        <v>6025817427.9285822</v>
      </c>
      <c r="U334" s="123">
        <v>4814890233.4695425</v>
      </c>
      <c r="V334" s="123">
        <v>3533014034.1633797</v>
      </c>
      <c r="W334" s="123">
        <v>6419002782.3285723</v>
      </c>
      <c r="X334" s="123">
        <v>1904779570.118938</v>
      </c>
      <c r="Y334" s="123">
        <v>822440167.07998312</v>
      </c>
      <c r="Z334" s="123">
        <v>2003021870.3189268</v>
      </c>
      <c r="AA334" s="123">
        <v>4703553715.9655161</v>
      </c>
      <c r="AB334" s="123">
        <v>3989808814.7481508</v>
      </c>
      <c r="AC334" s="123">
        <v>982607717.65980399</v>
      </c>
      <c r="AD334" s="123">
        <v>1544679108.5467544</v>
      </c>
      <c r="AE334" s="123">
        <v>1045350924.5096662</v>
      </c>
    </row>
    <row r="335" spans="1:31" x14ac:dyDescent="0.2">
      <c r="A335" s="48"/>
      <c r="B335" s="172">
        <v>3</v>
      </c>
      <c r="C335" s="115" t="s">
        <v>98</v>
      </c>
      <c r="D335" s="236"/>
      <c r="E335" s="67" t="s">
        <v>35</v>
      </c>
      <c r="F335" s="131"/>
      <c r="G335" s="123">
        <v>1359773611.0087459</v>
      </c>
      <c r="H335" s="123">
        <v>2512419883.9769893</v>
      </c>
      <c r="I335" s="123">
        <v>2226723934.5053496</v>
      </c>
      <c r="J335" s="123">
        <v>829802297.75411892</v>
      </c>
      <c r="K335" s="123">
        <v>715859992.76155317</v>
      </c>
      <c r="L335" s="123">
        <v>1808361552.1438894</v>
      </c>
      <c r="M335" s="123">
        <v>1742668875.3306241</v>
      </c>
      <c r="N335" s="123">
        <v>4842291602.3362188</v>
      </c>
      <c r="O335" s="123">
        <v>3383317435.8082848</v>
      </c>
      <c r="P335" s="123">
        <v>7568550275.0417395</v>
      </c>
      <c r="Q335" s="123">
        <v>1785444092.4987733</v>
      </c>
      <c r="R335" s="123">
        <v>7473587162.5642214</v>
      </c>
      <c r="S335" s="123">
        <v>5806832731.7028532</v>
      </c>
      <c r="T335" s="123">
        <v>6033313728.9231033</v>
      </c>
      <c r="U335" s="123">
        <v>4814729162.2659187</v>
      </c>
      <c r="V335" s="123">
        <v>3532813228.659359</v>
      </c>
      <c r="W335" s="123">
        <v>6417566765.4369135</v>
      </c>
      <c r="X335" s="123">
        <v>1905795070.8346941</v>
      </c>
      <c r="Y335" s="123">
        <v>821321920.09557855</v>
      </c>
      <c r="Z335" s="123">
        <v>2005553713.7653933</v>
      </c>
      <c r="AA335" s="123">
        <v>4700755022.196126</v>
      </c>
      <c r="AB335" s="123">
        <v>3991946628.8486056</v>
      </c>
      <c r="AC335" s="123">
        <v>980475324.42247999</v>
      </c>
      <c r="AD335" s="123">
        <v>1544177286.227118</v>
      </c>
      <c r="AE335" s="123">
        <v>1045085112.9949092</v>
      </c>
    </row>
    <row r="336" spans="1:31" x14ac:dyDescent="0.2">
      <c r="A336" s="48"/>
      <c r="B336" s="172">
        <v>4</v>
      </c>
      <c r="C336" s="115" t="s">
        <v>99</v>
      </c>
      <c r="D336" s="236"/>
      <c r="E336" s="67" t="s">
        <v>35</v>
      </c>
      <c r="F336" s="131"/>
      <c r="G336" s="123">
        <v>1359786279.9911201</v>
      </c>
      <c r="H336" s="123">
        <v>2512474894.2771411</v>
      </c>
      <c r="I336" s="123">
        <v>2216150287.2506042</v>
      </c>
      <c r="J336" s="123">
        <v>787303098.52529597</v>
      </c>
      <c r="K336" s="123">
        <v>714504256.10660982</v>
      </c>
      <c r="L336" s="123">
        <v>2182150969.5103598</v>
      </c>
      <c r="M336" s="123">
        <v>1668639042.0461376</v>
      </c>
      <c r="N336" s="123">
        <v>4784436517.2793617</v>
      </c>
      <c r="O336" s="123">
        <v>3314860989.339046</v>
      </c>
      <c r="P336" s="123">
        <v>7636196059.9096298</v>
      </c>
      <c r="Q336" s="123">
        <v>1828790733.2008469</v>
      </c>
      <c r="R336" s="123">
        <v>7611577888.5742817</v>
      </c>
      <c r="S336" s="123">
        <v>5789518250.2697163</v>
      </c>
      <c r="T336" s="123">
        <v>5792341830.6434317</v>
      </c>
      <c r="U336" s="123">
        <v>4959470838.9921951</v>
      </c>
      <c r="V336" s="123">
        <v>3561264658.4485979</v>
      </c>
      <c r="W336" s="123">
        <v>6305453708.3312836</v>
      </c>
      <c r="X336" s="123">
        <v>1867170759.5060825</v>
      </c>
      <c r="Y336" s="123">
        <v>841905424.79584062</v>
      </c>
      <c r="Z336" s="123">
        <v>2016974561.9507782</v>
      </c>
      <c r="AA336" s="123">
        <v>4705385453.7959957</v>
      </c>
      <c r="AB336" s="123">
        <v>3971286773.0903659</v>
      </c>
      <c r="AC336" s="123">
        <v>982762108.46648097</v>
      </c>
      <c r="AD336" s="123">
        <v>1552507453.2569778</v>
      </c>
      <c r="AE336" s="123">
        <v>1030912227.0062069</v>
      </c>
    </row>
    <row r="337" spans="1:31" x14ac:dyDescent="0.2">
      <c r="A337" s="48"/>
      <c r="B337" s="172">
        <v>5</v>
      </c>
      <c r="C337" s="115" t="s">
        <v>100</v>
      </c>
      <c r="D337" s="236"/>
      <c r="E337" s="67" t="s">
        <v>35</v>
      </c>
      <c r="F337" s="178" t="s">
        <v>240</v>
      </c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</row>
    <row r="338" spans="1:31" x14ac:dyDescent="0.2">
      <c r="A338" s="48"/>
      <c r="B338" s="172">
        <v>6</v>
      </c>
      <c r="C338" s="115" t="s">
        <v>174</v>
      </c>
      <c r="D338" s="236"/>
      <c r="E338" s="67" t="s">
        <v>35</v>
      </c>
      <c r="F338" s="178" t="s">
        <v>240</v>
      </c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</row>
    <row r="339" spans="1:31" x14ac:dyDescent="0.2">
      <c r="B339" s="83"/>
      <c r="C339" s="83"/>
      <c r="D339" s="133"/>
      <c r="E339" s="83"/>
      <c r="F339" s="83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</row>
    <row r="340" spans="1:31" x14ac:dyDescent="0.2">
      <c r="B340" s="83"/>
      <c r="C340" s="83"/>
      <c r="D340" s="133"/>
      <c r="E340" s="83"/>
      <c r="F340" s="83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</row>
    <row r="341" spans="1:31" x14ac:dyDescent="0.2">
      <c r="B341" s="83"/>
      <c r="C341" s="83"/>
      <c r="D341" s="133"/>
      <c r="E341" s="83"/>
      <c r="F341" s="83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</row>
    <row r="342" spans="1:31" x14ac:dyDescent="0.2">
      <c r="B342" s="83"/>
      <c r="C342" s="83"/>
      <c r="D342" s="133"/>
      <c r="E342" s="83"/>
      <c r="F342" s="83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</row>
    <row r="343" spans="1:31" x14ac:dyDescent="0.2">
      <c r="B343" s="83"/>
      <c r="C343" s="83"/>
      <c r="D343" s="133"/>
      <c r="E343" s="83"/>
      <c r="F343" s="83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</row>
    <row r="344" spans="1:31" x14ac:dyDescent="0.2">
      <c r="B344" s="83"/>
      <c r="C344" s="83"/>
      <c r="D344" s="133"/>
      <c r="E344" s="83"/>
      <c r="F344" s="83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</row>
    <row r="345" spans="1:31" x14ac:dyDescent="0.2">
      <c r="B345" s="83"/>
      <c r="C345" s="83"/>
      <c r="D345" s="133"/>
      <c r="E345" s="83"/>
      <c r="F345" s="83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</row>
    <row r="346" spans="1:31" x14ac:dyDescent="0.2">
      <c r="B346" s="83"/>
      <c r="C346" s="83"/>
      <c r="D346" s="133"/>
      <c r="E346" s="83"/>
      <c r="F346" s="83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</row>
    <row r="347" spans="1:31" x14ac:dyDescent="0.2">
      <c r="B347" s="83"/>
      <c r="C347" s="83"/>
      <c r="D347" s="133"/>
      <c r="E347" s="83"/>
      <c r="F347" s="83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</row>
    <row r="348" spans="1:31" x14ac:dyDescent="0.2">
      <c r="B348" s="83"/>
      <c r="C348" s="83"/>
      <c r="D348" s="133"/>
      <c r="E348" s="83"/>
      <c r="F348" s="83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</row>
    <row r="349" spans="1:31" x14ac:dyDescent="0.2">
      <c r="B349" s="83"/>
      <c r="C349" s="83"/>
      <c r="D349" s="133"/>
      <c r="E349" s="223"/>
      <c r="F349" s="223"/>
      <c r="G349" s="224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</row>
    <row r="350" spans="1:31" x14ac:dyDescent="0.2">
      <c r="B350" s="83"/>
      <c r="C350" s="83"/>
      <c r="E350" s="217"/>
      <c r="F350" s="217"/>
      <c r="G350" s="217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</row>
    <row r="351" spans="1:31" x14ac:dyDescent="0.2">
      <c r="B351" s="83"/>
      <c r="C351" s="83"/>
      <c r="D351" s="133"/>
      <c r="E351" s="217"/>
      <c r="F351" s="217"/>
      <c r="G351" s="217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</row>
    <row r="352" spans="1:31" x14ac:dyDescent="0.2">
      <c r="B352" s="83"/>
      <c r="C352" s="83"/>
      <c r="D352" s="133"/>
      <c r="E352" s="217"/>
      <c r="F352" s="217"/>
      <c r="G352" s="217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</row>
    <row r="353" spans="2:31" x14ac:dyDescent="0.2">
      <c r="B353" s="83"/>
      <c r="C353" s="83"/>
      <c r="D353" s="13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</row>
    <row r="354" spans="2:31" x14ac:dyDescent="0.2">
      <c r="B354" s="83"/>
      <c r="C354" s="83"/>
      <c r="D354" s="133"/>
      <c r="E354" s="222"/>
      <c r="F354" s="222"/>
      <c r="G354" s="222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</row>
    <row r="355" spans="2:31" x14ac:dyDescent="0.2">
      <c r="B355" s="83"/>
      <c r="C355" s="83"/>
      <c r="D355" s="133"/>
      <c r="E355" s="221"/>
      <c r="F355" s="221"/>
      <c r="G355" s="221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</row>
    <row r="356" spans="2:31" x14ac:dyDescent="0.2">
      <c r="B356" s="83"/>
      <c r="C356" s="83"/>
      <c r="D356" s="13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</row>
    <row r="357" spans="2:31" x14ac:dyDescent="0.2">
      <c r="B357" s="83"/>
      <c r="C357" s="83"/>
      <c r="D357" s="13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</row>
    <row r="358" spans="2:31" x14ac:dyDescent="0.2">
      <c r="B358" s="83"/>
      <c r="C358" s="83"/>
      <c r="E358" s="217"/>
      <c r="F358" s="217"/>
      <c r="G358" s="217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</row>
    <row r="359" spans="2:31" x14ac:dyDescent="0.2">
      <c r="B359" s="83"/>
      <c r="C359" s="83"/>
      <c r="D359" s="133"/>
      <c r="E359" s="225"/>
      <c r="F359" s="225"/>
      <c r="G359" s="225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</row>
    <row r="360" spans="2:31" x14ac:dyDescent="0.2">
      <c r="B360" s="83"/>
      <c r="C360" s="83"/>
      <c r="D360" s="133"/>
      <c r="E360" s="226"/>
      <c r="F360" s="226"/>
      <c r="G360" s="226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</row>
    <row r="361" spans="2:31" x14ac:dyDescent="0.2">
      <c r="B361" s="83"/>
      <c r="C361" s="83"/>
      <c r="D361" s="133"/>
      <c r="E361" s="225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</row>
    <row r="362" spans="2:31" x14ac:dyDescent="0.2">
      <c r="B362" s="83"/>
      <c r="C362" s="83"/>
      <c r="D362" s="13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</row>
    <row r="363" spans="2:31" x14ac:dyDescent="0.2">
      <c r="B363" s="83"/>
      <c r="C363" s="83"/>
      <c r="D363" s="133"/>
      <c r="E363" s="225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</row>
    <row r="364" spans="2:31" x14ac:dyDescent="0.2">
      <c r="B364" s="83"/>
      <c r="C364" s="83"/>
      <c r="D364" s="13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</row>
    <row r="365" spans="2:31" x14ac:dyDescent="0.2">
      <c r="B365" s="83"/>
      <c r="C365" s="83"/>
      <c r="D365" s="13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</row>
    <row r="366" spans="2:31" x14ac:dyDescent="0.2">
      <c r="B366" s="83"/>
      <c r="C366" s="83"/>
      <c r="D366" s="13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</row>
    <row r="367" spans="2:31" x14ac:dyDescent="0.2">
      <c r="B367" s="83"/>
      <c r="C367" s="83"/>
      <c r="D367" s="13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</row>
    <row r="368" spans="2:31" x14ac:dyDescent="0.2">
      <c r="B368" s="83"/>
      <c r="C368" s="83"/>
      <c r="D368" s="13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</row>
    <row r="369" spans="2:31" x14ac:dyDescent="0.2">
      <c r="B369" s="83"/>
      <c r="C369" s="83"/>
      <c r="D369" s="13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</row>
    <row r="370" spans="2:31" x14ac:dyDescent="0.2">
      <c r="B370" s="83"/>
      <c r="C370" s="83"/>
      <c r="D370" s="13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</row>
    <row r="371" spans="2:31" x14ac:dyDescent="0.2">
      <c r="B371" s="83"/>
      <c r="C371" s="83"/>
      <c r="D371" s="13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</row>
    <row r="372" spans="2:31" x14ac:dyDescent="0.2">
      <c r="B372" s="83"/>
      <c r="C372" s="83"/>
      <c r="D372" s="13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</row>
    <row r="373" spans="2:31" x14ac:dyDescent="0.2">
      <c r="B373" s="83"/>
      <c r="C373" s="83"/>
      <c r="D373" s="13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</row>
    <row r="374" spans="2:31" x14ac:dyDescent="0.2">
      <c r="B374" s="83"/>
      <c r="C374" s="83"/>
      <c r="D374" s="13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</row>
    <row r="375" spans="2:31" x14ac:dyDescent="0.2">
      <c r="B375" s="83"/>
      <c r="C375" s="83"/>
      <c r="D375" s="13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</row>
    <row r="376" spans="2:31" x14ac:dyDescent="0.2">
      <c r="B376" s="83"/>
      <c r="C376" s="83"/>
      <c r="D376" s="13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</row>
    <row r="377" spans="2:31" x14ac:dyDescent="0.2">
      <c r="B377" s="83"/>
      <c r="C377" s="83"/>
      <c r="D377" s="13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</row>
    <row r="378" spans="2:31" x14ac:dyDescent="0.2">
      <c r="B378" s="83"/>
      <c r="C378" s="83"/>
      <c r="D378" s="13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</row>
    <row r="379" spans="2:31" x14ac:dyDescent="0.2">
      <c r="B379" s="83"/>
      <c r="C379" s="83"/>
      <c r="D379" s="13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</row>
    <row r="380" spans="2:31" x14ac:dyDescent="0.2">
      <c r="B380" s="83"/>
      <c r="C380" s="83"/>
      <c r="D380" s="13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</row>
    <row r="381" spans="2:31" x14ac:dyDescent="0.2">
      <c r="B381" s="83"/>
      <c r="C381" s="83"/>
      <c r="D381" s="13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</row>
    <row r="382" spans="2:31" x14ac:dyDescent="0.2">
      <c r="B382" s="83"/>
      <c r="C382" s="83"/>
      <c r="D382" s="13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</row>
    <row r="383" spans="2:31" x14ac:dyDescent="0.2">
      <c r="B383" s="83"/>
      <c r="C383" s="83"/>
      <c r="D383" s="13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</row>
    <row r="384" spans="2:31" x14ac:dyDescent="0.2">
      <c r="B384" s="83"/>
      <c r="C384" s="83"/>
      <c r="D384" s="13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</row>
    <row r="385" spans="2:31" x14ac:dyDescent="0.2">
      <c r="B385" s="83"/>
      <c r="C385" s="83"/>
      <c r="D385" s="13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</row>
    <row r="386" spans="2:31" x14ac:dyDescent="0.2">
      <c r="B386" s="83"/>
      <c r="C386" s="83"/>
      <c r="D386" s="13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</row>
    <row r="387" spans="2:31" x14ac:dyDescent="0.2">
      <c r="B387" s="83"/>
      <c r="C387" s="83"/>
      <c r="D387" s="13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</row>
    <row r="388" spans="2:31" x14ac:dyDescent="0.2">
      <c r="B388" s="83"/>
      <c r="C388" s="83"/>
      <c r="D388" s="13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</row>
  </sheetData>
  <dataValidations count="1">
    <dataValidation type="list" allowBlank="1" showInputMessage="1" showErrorMessage="1" sqref="J61:K99">
      <formula1>$A$20:$A$25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/>
  </sheetPr>
  <dimension ref="A1:AF146"/>
  <sheetViews>
    <sheetView showGridLines="0" zoomScaleNormal="100" workbookViewId="0">
      <selection activeCell="H144" sqref="H144"/>
    </sheetView>
  </sheetViews>
  <sheetFormatPr defaultRowHeight="15" x14ac:dyDescent="0.2"/>
  <cols>
    <col min="1" max="1" width="15.109375" bestFit="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5.109375" style="90" bestFit="1" customWidth="1"/>
    <col min="7" max="7" width="14.44140625" customWidth="1"/>
    <col min="8" max="31" width="13.6640625" customWidth="1"/>
    <col min="32" max="32" width="10.88671875" bestFit="1" customWidth="1"/>
  </cols>
  <sheetData>
    <row r="1" spans="1:32" ht="18" x14ac:dyDescent="0.25">
      <c r="B1" s="2" t="s">
        <v>93</v>
      </c>
      <c r="C1" s="27"/>
      <c r="D1" s="27"/>
      <c r="E1"/>
      <c r="F1"/>
    </row>
    <row r="2" spans="1:32" ht="15.75" x14ac:dyDescent="0.25">
      <c r="B2" s="3" t="s">
        <v>48</v>
      </c>
      <c r="C2" s="27"/>
      <c r="D2" s="27"/>
      <c r="E2"/>
      <c r="F2" s="29"/>
    </row>
    <row r="3" spans="1:32" ht="15.75" x14ac:dyDescent="0.25">
      <c r="B3"/>
      <c r="C3" s="27"/>
      <c r="D3" s="27"/>
      <c r="E3"/>
      <c r="F3" s="150"/>
    </row>
    <row r="4" spans="1:32" ht="21" x14ac:dyDescent="0.35">
      <c r="B4" s="5" t="s">
        <v>52</v>
      </c>
      <c r="C4" s="28"/>
      <c r="D4" s="28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162"/>
    </row>
    <row r="5" spans="1:32" x14ac:dyDescent="0.2">
      <c r="B5"/>
      <c r="C5" s="27"/>
      <c r="D5" s="27"/>
      <c r="E5"/>
      <c r="F5" s="126"/>
    </row>
    <row r="6" spans="1:32" ht="15.75" x14ac:dyDescent="0.25">
      <c r="B6" s="4" t="s">
        <v>36</v>
      </c>
      <c r="C6" s="26"/>
      <c r="D6" s="26"/>
      <c r="E6" s="10"/>
      <c r="F6" s="10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166"/>
    </row>
    <row r="7" spans="1:32" ht="15.75" x14ac:dyDescent="0.25">
      <c r="B7" s="6" t="s">
        <v>14</v>
      </c>
      <c r="C7" s="9" t="s">
        <v>13</v>
      </c>
      <c r="D7" s="9" t="s">
        <v>95</v>
      </c>
      <c r="E7" s="7" t="s">
        <v>22</v>
      </c>
      <c r="F7" s="7" t="s">
        <v>38</v>
      </c>
      <c r="G7" s="12" t="s">
        <v>103</v>
      </c>
      <c r="H7" s="12" t="s">
        <v>104</v>
      </c>
      <c r="I7" s="12" t="s">
        <v>105</v>
      </c>
      <c r="J7" s="12" t="s">
        <v>106</v>
      </c>
      <c r="K7" s="12" t="s">
        <v>107</v>
      </c>
      <c r="L7" s="12" t="s">
        <v>108</v>
      </c>
      <c r="M7" s="12" t="s">
        <v>109</v>
      </c>
      <c r="N7" s="12" t="s">
        <v>110</v>
      </c>
      <c r="O7" s="12" t="s">
        <v>111</v>
      </c>
      <c r="P7" s="12" t="s">
        <v>112</v>
      </c>
      <c r="Q7" s="12" t="s">
        <v>113</v>
      </c>
      <c r="R7" s="12" t="s">
        <v>114</v>
      </c>
      <c r="S7" s="12" t="s">
        <v>115</v>
      </c>
      <c r="T7" s="12" t="s">
        <v>116</v>
      </c>
      <c r="U7" s="12" t="s">
        <v>117</v>
      </c>
      <c r="V7" s="12" t="s">
        <v>118</v>
      </c>
      <c r="W7" s="12" t="s">
        <v>119</v>
      </c>
      <c r="X7" s="12" t="s">
        <v>120</v>
      </c>
      <c r="Y7" s="12" t="s">
        <v>121</v>
      </c>
      <c r="Z7" s="12" t="s">
        <v>122</v>
      </c>
      <c r="AA7" s="12" t="s">
        <v>123</v>
      </c>
      <c r="AB7" s="12" t="s">
        <v>124</v>
      </c>
      <c r="AC7" s="12" t="s">
        <v>125</v>
      </c>
      <c r="AD7" s="12" t="s">
        <v>126</v>
      </c>
      <c r="AE7" s="12" t="s">
        <v>127</v>
      </c>
      <c r="AF7" s="171" t="s">
        <v>153</v>
      </c>
    </row>
    <row r="8" spans="1:32" x14ac:dyDescent="0.2">
      <c r="A8" s="160"/>
      <c r="B8" s="8">
        <v>1</v>
      </c>
      <c r="C8" s="13" t="s">
        <v>96</v>
      </c>
      <c r="D8" s="24"/>
      <c r="E8" s="11" t="s">
        <v>35</v>
      </c>
      <c r="F8" s="21">
        <v>-65474737.305574551</v>
      </c>
      <c r="G8" s="20">
        <v>0</v>
      </c>
      <c r="H8" s="20">
        <v>-52776609.473436169</v>
      </c>
      <c r="I8" s="20">
        <v>-42165542.012067549</v>
      </c>
      <c r="J8" s="20">
        <v>-54431113.891608939</v>
      </c>
      <c r="K8" s="20">
        <v>-47876770.503943518</v>
      </c>
      <c r="L8" s="20">
        <v>14635738.639985681</v>
      </c>
      <c r="M8" s="20">
        <v>13207322.730372831</v>
      </c>
      <c r="N8" s="20">
        <v>-13125778.187163055</v>
      </c>
      <c r="O8" s="20">
        <v>1136548.1656361828</v>
      </c>
      <c r="P8" s="20">
        <v>14312359.43403751</v>
      </c>
      <c r="Q8" s="20">
        <v>-1837015.587314372</v>
      </c>
      <c r="R8" s="20">
        <v>7758072.5790107902</v>
      </c>
      <c r="S8" s="20">
        <v>73867600.833870679</v>
      </c>
      <c r="T8" s="20">
        <v>13752485.464283058</v>
      </c>
      <c r="U8" s="20">
        <v>52773834.288939275</v>
      </c>
      <c r="V8" s="20">
        <v>21062472.889542595</v>
      </c>
      <c r="W8" s="20">
        <v>-56768.053656141274</v>
      </c>
      <c r="X8" s="20">
        <v>-25303734.193417333</v>
      </c>
      <c r="Y8" s="20">
        <v>-12912239.404929589</v>
      </c>
      <c r="Z8" s="20">
        <v>-16423207.475892611</v>
      </c>
      <c r="AA8" s="20">
        <v>-2164319.6469778712</v>
      </c>
      <c r="AB8" s="20">
        <v>-18612952.130091928</v>
      </c>
      <c r="AC8" s="20">
        <v>24953954.19658193</v>
      </c>
      <c r="AD8" s="20">
        <v>-11689932.988161439</v>
      </c>
      <c r="AE8" s="20">
        <v>-10209245.117610002</v>
      </c>
      <c r="AF8" s="20">
        <v>110912540.52064182</v>
      </c>
    </row>
    <row r="9" spans="1:32" x14ac:dyDescent="0.2">
      <c r="A9" s="160"/>
      <c r="B9" s="8">
        <v>2</v>
      </c>
      <c r="C9" s="13" t="s">
        <v>97</v>
      </c>
      <c r="D9" s="24"/>
      <c r="E9" s="11" t="s">
        <v>35</v>
      </c>
      <c r="F9" s="21">
        <v>-138258332.35598707</v>
      </c>
      <c r="G9" s="20">
        <v>0</v>
      </c>
      <c r="H9" s="20">
        <v>-75776609.473436177</v>
      </c>
      <c r="I9" s="20">
        <v>-65165542.012067556</v>
      </c>
      <c r="J9" s="20">
        <v>-77431113.891608939</v>
      </c>
      <c r="K9" s="20">
        <v>-71796770.503943518</v>
      </c>
      <c r="L9" s="20">
        <v>13715738.639985681</v>
      </c>
      <c r="M9" s="20">
        <v>12287322.730372831</v>
      </c>
      <c r="N9" s="20">
        <v>-14045778.187163055</v>
      </c>
      <c r="O9" s="20">
        <v>216548.16563618276</v>
      </c>
      <c r="P9" s="20">
        <v>13392359.43403751</v>
      </c>
      <c r="Q9" s="20">
        <v>-2757015.587314372</v>
      </c>
      <c r="R9" s="20">
        <v>6838072.5790107902</v>
      </c>
      <c r="S9" s="20">
        <v>72947600.833870679</v>
      </c>
      <c r="T9" s="20">
        <v>12832485.464283058</v>
      </c>
      <c r="U9" s="20">
        <v>51853834.288939275</v>
      </c>
      <c r="V9" s="20">
        <v>20142472.889542595</v>
      </c>
      <c r="W9" s="20">
        <v>-976768.05365614081</v>
      </c>
      <c r="X9" s="20">
        <v>-26223734.193417333</v>
      </c>
      <c r="Y9" s="20">
        <v>-13832239.404929589</v>
      </c>
      <c r="Z9" s="20">
        <v>-17343207.475892611</v>
      </c>
      <c r="AA9" s="20">
        <v>-3084319.6469778712</v>
      </c>
      <c r="AB9" s="20">
        <v>-19532952.130091928</v>
      </c>
      <c r="AC9" s="20">
        <v>24033954.19658193</v>
      </c>
      <c r="AD9" s="20">
        <v>-12609932.988161439</v>
      </c>
      <c r="AE9" s="20">
        <v>-11129245.117610002</v>
      </c>
      <c r="AF9" s="20">
        <v>161182540.52064177</v>
      </c>
    </row>
    <row r="10" spans="1:32" x14ac:dyDescent="0.2">
      <c r="A10" s="160"/>
      <c r="B10" s="8">
        <v>3</v>
      </c>
      <c r="C10" s="13" t="s">
        <v>98</v>
      </c>
      <c r="D10" s="24"/>
      <c r="E10" s="11" t="s">
        <v>35</v>
      </c>
      <c r="F10" s="21">
        <v>-201006025.1858224</v>
      </c>
      <c r="G10" s="20">
        <v>0</v>
      </c>
      <c r="H10" s="20">
        <v>-98293413.957940474</v>
      </c>
      <c r="I10" s="20">
        <v>-87626429.950903073</v>
      </c>
      <c r="J10" s="20">
        <v>-99945039.668048233</v>
      </c>
      <c r="K10" s="20">
        <v>-94730069.132284358</v>
      </c>
      <c r="L10" s="20">
        <v>14095929.970952928</v>
      </c>
      <c r="M10" s="20">
        <v>12316874.310315881</v>
      </c>
      <c r="N10" s="20">
        <v>-14300244.815798543</v>
      </c>
      <c r="O10" s="20">
        <v>-10736.052409436554</v>
      </c>
      <c r="P10" s="20">
        <v>12904957.222615503</v>
      </c>
      <c r="Q10" s="20">
        <v>-3137603.1017533336</v>
      </c>
      <c r="R10" s="20">
        <v>6235849.1791139152</v>
      </c>
      <c r="S10" s="20">
        <v>75329993.491560131</v>
      </c>
      <c r="T10" s="20">
        <v>13701788.905291349</v>
      </c>
      <c r="U10" s="20">
        <v>50888283.82142958</v>
      </c>
      <c r="V10" s="20">
        <v>17855359.033122655</v>
      </c>
      <c r="W10" s="20">
        <v>1606532.1497529647</v>
      </c>
      <c r="X10" s="20">
        <v>-27302041.319914594</v>
      </c>
      <c r="Y10" s="20">
        <v>-17106170.939912759</v>
      </c>
      <c r="Z10" s="20">
        <v>-14767890.653045323</v>
      </c>
      <c r="AA10" s="20">
        <v>-2986650.4896046412</v>
      </c>
      <c r="AB10" s="20">
        <v>-16989310.408588734</v>
      </c>
      <c r="AC10" s="20">
        <v>16932030.181540057</v>
      </c>
      <c r="AD10" s="20">
        <v>-8499710.8140773848</v>
      </c>
      <c r="AE10" s="20">
        <v>-10352386.999511031</v>
      </c>
      <c r="AF10" s="20">
        <v>212540709.12813216</v>
      </c>
    </row>
    <row r="11" spans="1:32" x14ac:dyDescent="0.2">
      <c r="A11" s="160"/>
      <c r="B11" s="8">
        <v>4</v>
      </c>
      <c r="C11" s="13" t="s">
        <v>99</v>
      </c>
      <c r="D11" s="24"/>
      <c r="E11" s="11" t="s">
        <v>35</v>
      </c>
      <c r="F11" s="21">
        <v>-16908021.509543974</v>
      </c>
      <c r="G11" s="20">
        <v>0</v>
      </c>
      <c r="H11" s="20">
        <v>-16664072.605050689</v>
      </c>
      <c r="I11" s="20">
        <v>-14054962.465434037</v>
      </c>
      <c r="J11" s="20">
        <v>-15290701.259021668</v>
      </c>
      <c r="K11" s="20">
        <v>1791615.9349099679</v>
      </c>
      <c r="L11" s="20">
        <v>-2339815.8699233858</v>
      </c>
      <c r="M11" s="20">
        <v>1849010.443719289</v>
      </c>
      <c r="N11" s="20">
        <v>2455145.245538123</v>
      </c>
      <c r="O11" s="20">
        <v>-105861.50572504383</v>
      </c>
      <c r="P11" s="20">
        <v>2346266.7966135573</v>
      </c>
      <c r="Q11" s="20">
        <v>-667457.84675901663</v>
      </c>
      <c r="R11" s="20">
        <v>1968913.6993900803</v>
      </c>
      <c r="S11" s="20">
        <v>22883787.172967557</v>
      </c>
      <c r="T11" s="20">
        <v>1072733.3816533862</v>
      </c>
      <c r="U11" s="20">
        <v>10740073.188047742</v>
      </c>
      <c r="V11" s="20">
        <v>7206238.8046518918</v>
      </c>
      <c r="W11" s="20">
        <v>-4641129.2055513309</v>
      </c>
      <c r="X11" s="20">
        <v>-967242.47282059491</v>
      </c>
      <c r="Y11" s="20">
        <v>-4319720.9245147984</v>
      </c>
      <c r="Z11" s="20">
        <v>-3367465.338956303</v>
      </c>
      <c r="AA11" s="20">
        <v>-516748.40132590604</v>
      </c>
      <c r="AB11" s="20">
        <v>-830826.13302880339</v>
      </c>
      <c r="AC11" s="20">
        <v>2668147.5519591123</v>
      </c>
      <c r="AD11" s="20">
        <v>-1454544.1217553224</v>
      </c>
      <c r="AE11" s="20">
        <v>-4709873.785955755</v>
      </c>
      <c r="AF11" s="20">
        <v>20388113.372178018</v>
      </c>
    </row>
    <row r="12" spans="1:32" s="161" customFormat="1" x14ac:dyDescent="0.2">
      <c r="A12" s="160"/>
      <c r="B12" s="172">
        <v>5</v>
      </c>
      <c r="C12" s="13" t="s">
        <v>100</v>
      </c>
      <c r="D12" s="164"/>
      <c r="E12" s="173" t="s">
        <v>35</v>
      </c>
      <c r="F12" s="21">
        <v>-165260750.73194495</v>
      </c>
      <c r="G12" s="265" t="s">
        <v>240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1:32" s="161" customFormat="1" x14ac:dyDescent="0.2">
      <c r="A13" s="160"/>
      <c r="B13" s="172">
        <v>6</v>
      </c>
      <c r="C13" s="13" t="s">
        <v>174</v>
      </c>
      <c r="D13" s="164"/>
      <c r="E13" s="173" t="s">
        <v>35</v>
      </c>
      <c r="F13" s="21">
        <v>-46536759.460817881</v>
      </c>
      <c r="G13" s="265" t="s">
        <v>240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1:32" x14ac:dyDescent="0.2">
      <c r="A14" s="160"/>
      <c r="B14"/>
      <c r="C14" s="27"/>
      <c r="D14" s="27"/>
      <c r="E14"/>
      <c r="F14" s="12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32" ht="15.75" x14ac:dyDescent="0.25">
      <c r="A15" s="160"/>
      <c r="B15" s="4" t="s">
        <v>76</v>
      </c>
      <c r="C15" s="26"/>
      <c r="D15" s="26"/>
      <c r="E15" s="10"/>
      <c r="F15" s="1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1:32" ht="15.75" x14ac:dyDescent="0.25">
      <c r="A16" s="160"/>
      <c r="B16" s="6" t="s">
        <v>14</v>
      </c>
      <c r="C16" s="9" t="s">
        <v>13</v>
      </c>
      <c r="D16" s="9"/>
      <c r="E16" s="7" t="s">
        <v>22</v>
      </c>
      <c r="F16" s="7" t="s">
        <v>37</v>
      </c>
      <c r="G16" s="12" t="s">
        <v>103</v>
      </c>
      <c r="H16" s="12" t="s">
        <v>104</v>
      </c>
      <c r="I16" s="12" t="s">
        <v>105</v>
      </c>
      <c r="J16" s="12" t="s">
        <v>106</v>
      </c>
      <c r="K16" s="12" t="s">
        <v>107</v>
      </c>
      <c r="L16" s="12" t="s">
        <v>108</v>
      </c>
      <c r="M16" s="12" t="s">
        <v>109</v>
      </c>
      <c r="N16" s="12" t="s">
        <v>110</v>
      </c>
      <c r="O16" s="12" t="s">
        <v>111</v>
      </c>
      <c r="P16" s="12" t="s">
        <v>112</v>
      </c>
      <c r="Q16" s="12" t="s">
        <v>113</v>
      </c>
      <c r="R16" s="12" t="s">
        <v>114</v>
      </c>
      <c r="S16" s="12" t="s">
        <v>115</v>
      </c>
      <c r="T16" s="12" t="s">
        <v>116</v>
      </c>
      <c r="U16" s="12" t="s">
        <v>117</v>
      </c>
      <c r="V16" s="12" t="s">
        <v>118</v>
      </c>
      <c r="W16" s="12" t="s">
        <v>119</v>
      </c>
      <c r="X16" s="12" t="s">
        <v>120</v>
      </c>
      <c r="Y16" s="12" t="s">
        <v>121</v>
      </c>
      <c r="Z16" s="12" t="s">
        <v>122</v>
      </c>
      <c r="AA16" s="12" t="s">
        <v>123</v>
      </c>
      <c r="AB16" s="12" t="s">
        <v>124</v>
      </c>
      <c r="AC16" s="12" t="s">
        <v>125</v>
      </c>
      <c r="AD16" s="12" t="s">
        <v>126</v>
      </c>
      <c r="AE16" s="12" t="s">
        <v>127</v>
      </c>
      <c r="AF16" s="171" t="s">
        <v>153</v>
      </c>
    </row>
    <row r="17" spans="1:32" x14ac:dyDescent="0.2">
      <c r="A17" s="160"/>
      <c r="B17" s="172">
        <v>1</v>
      </c>
      <c r="C17" s="13" t="s">
        <v>96</v>
      </c>
      <c r="D17" s="164"/>
      <c r="E17" s="173" t="s">
        <v>35</v>
      </c>
      <c r="F17" s="21">
        <v>101728396.24541214</v>
      </c>
      <c r="G17" s="20">
        <v>0</v>
      </c>
      <c r="H17" s="20">
        <v>-26609.473436176118</v>
      </c>
      <c r="I17" s="20">
        <v>10584457.987932451</v>
      </c>
      <c r="J17" s="20">
        <v>-1681113.8916089395</v>
      </c>
      <c r="K17" s="20">
        <v>6983229.4960564831</v>
      </c>
      <c r="L17" s="20">
        <v>16745738.639985681</v>
      </c>
      <c r="M17" s="20">
        <v>15317322.730372835</v>
      </c>
      <c r="N17" s="20">
        <v>-11015778.187163055</v>
      </c>
      <c r="O17" s="20">
        <v>3246548.1656361837</v>
      </c>
      <c r="P17" s="20">
        <v>16422359.43403751</v>
      </c>
      <c r="Q17" s="20">
        <v>272984.41268562805</v>
      </c>
      <c r="R17" s="20">
        <v>9868072.5790107902</v>
      </c>
      <c r="S17" s="20">
        <v>75977600.833870679</v>
      </c>
      <c r="T17" s="20">
        <v>15862485.464283058</v>
      </c>
      <c r="U17" s="20">
        <v>54883834.288939275</v>
      </c>
      <c r="V17" s="20">
        <v>23172472.889542595</v>
      </c>
      <c r="W17" s="20">
        <v>2053231.946343859</v>
      </c>
      <c r="X17" s="20">
        <v>-23193734.193417333</v>
      </c>
      <c r="Y17" s="20">
        <v>-10802239.404929589</v>
      </c>
      <c r="Z17" s="20">
        <v>-14313207.475892611</v>
      </c>
      <c r="AA17" s="20">
        <v>-54319.646977870958</v>
      </c>
      <c r="AB17" s="20">
        <v>-16502952.130091926</v>
      </c>
      <c r="AC17" s="20">
        <v>27063954.19658193</v>
      </c>
      <c r="AD17" s="20">
        <v>-9579932.9881614391</v>
      </c>
      <c r="AE17" s="20">
        <v>-8099245.1176100019</v>
      </c>
      <c r="AF17" s="20">
        <v>-3157459.4793581944</v>
      </c>
    </row>
    <row r="18" spans="1:32" x14ac:dyDescent="0.2">
      <c r="A18" s="160"/>
      <c r="B18" s="172">
        <v>2</v>
      </c>
      <c r="C18" s="13" t="s">
        <v>97</v>
      </c>
      <c r="D18" s="164"/>
      <c r="E18" s="173" t="s">
        <v>35</v>
      </c>
      <c r="F18" s="21">
        <v>101728396.24541214</v>
      </c>
      <c r="G18" s="20">
        <v>0</v>
      </c>
      <c r="H18" s="20">
        <v>-26609.473436176118</v>
      </c>
      <c r="I18" s="20">
        <v>10584457.987932451</v>
      </c>
      <c r="J18" s="20">
        <v>-1681113.8916089395</v>
      </c>
      <c r="K18" s="20">
        <v>6983229.4960564831</v>
      </c>
      <c r="L18" s="20">
        <v>16745738.639985681</v>
      </c>
      <c r="M18" s="20">
        <v>15317322.730372835</v>
      </c>
      <c r="N18" s="20">
        <v>-11015778.187163055</v>
      </c>
      <c r="O18" s="20">
        <v>3246548.1656361837</v>
      </c>
      <c r="P18" s="20">
        <v>16422359.43403751</v>
      </c>
      <c r="Q18" s="20">
        <v>272984.41268562805</v>
      </c>
      <c r="R18" s="20">
        <v>9868072.5790107902</v>
      </c>
      <c r="S18" s="20">
        <v>75977600.833870679</v>
      </c>
      <c r="T18" s="20">
        <v>15862485.464283058</v>
      </c>
      <c r="U18" s="20">
        <v>54883834.288939275</v>
      </c>
      <c r="V18" s="20">
        <v>23172472.889542595</v>
      </c>
      <c r="W18" s="20">
        <v>2053231.946343859</v>
      </c>
      <c r="X18" s="20">
        <v>-23193734.193417333</v>
      </c>
      <c r="Y18" s="20">
        <v>-10802239.404929589</v>
      </c>
      <c r="Z18" s="20">
        <v>-14313207.475892611</v>
      </c>
      <c r="AA18" s="20">
        <v>-54319.646977870958</v>
      </c>
      <c r="AB18" s="20">
        <v>-16502952.130091926</v>
      </c>
      <c r="AC18" s="20">
        <v>27063954.19658193</v>
      </c>
      <c r="AD18" s="20">
        <v>-9579932.9881614391</v>
      </c>
      <c r="AE18" s="20">
        <v>-8099245.1176100019</v>
      </c>
      <c r="AF18" s="20">
        <v>-3157459.4793581944</v>
      </c>
    </row>
    <row r="19" spans="1:32" x14ac:dyDescent="0.2">
      <c r="A19" s="160"/>
      <c r="B19" s="172">
        <v>3</v>
      </c>
      <c r="C19" s="13" t="s">
        <v>98</v>
      </c>
      <c r="D19" s="164"/>
      <c r="E19" s="173" t="s">
        <v>35</v>
      </c>
      <c r="F19" s="21">
        <v>110158882.67756043</v>
      </c>
      <c r="G19" s="20">
        <v>0</v>
      </c>
      <c r="H19" s="20">
        <v>-43413.957940476292</v>
      </c>
      <c r="I19" s="20">
        <v>10623570.049096918</v>
      </c>
      <c r="J19" s="20">
        <v>-1695039.6680482265</v>
      </c>
      <c r="K19" s="20">
        <v>7449930.8677156363</v>
      </c>
      <c r="L19" s="20">
        <v>18025929.970952928</v>
      </c>
      <c r="M19" s="20">
        <v>16246874.310315881</v>
      </c>
      <c r="N19" s="20">
        <v>-10370244.815798543</v>
      </c>
      <c r="O19" s="20">
        <v>3919263.9475905616</v>
      </c>
      <c r="P19" s="20">
        <v>16834957.222615503</v>
      </c>
      <c r="Q19" s="20">
        <v>792396.89824666642</v>
      </c>
      <c r="R19" s="20">
        <v>10165849.179113915</v>
      </c>
      <c r="S19" s="20">
        <v>79259993.491560131</v>
      </c>
      <c r="T19" s="20">
        <v>17631788.905291349</v>
      </c>
      <c r="U19" s="20">
        <v>54818283.82142958</v>
      </c>
      <c r="V19" s="20">
        <v>21785359.033122655</v>
      </c>
      <c r="W19" s="20">
        <v>5536532.1497529643</v>
      </c>
      <c r="X19" s="20">
        <v>-23372041.319914594</v>
      </c>
      <c r="Y19" s="20">
        <v>-13176170.939912759</v>
      </c>
      <c r="Z19" s="20">
        <v>-10837890.653045323</v>
      </c>
      <c r="AA19" s="20">
        <v>943349.51039535832</v>
      </c>
      <c r="AB19" s="20">
        <v>-13059310.408588732</v>
      </c>
      <c r="AC19" s="20">
        <v>20862030.181540057</v>
      </c>
      <c r="AD19" s="20">
        <v>-4569710.8140773838</v>
      </c>
      <c r="AE19" s="20">
        <v>-6422386.9995110314</v>
      </c>
      <c r="AF19" s="20">
        <v>-1079290.8718678546</v>
      </c>
    </row>
    <row r="20" spans="1:32" x14ac:dyDescent="0.2">
      <c r="A20" s="160"/>
      <c r="B20" s="172">
        <v>4</v>
      </c>
      <c r="C20" s="13" t="s">
        <v>99</v>
      </c>
      <c r="D20" s="164"/>
      <c r="E20" s="173" t="s">
        <v>35</v>
      </c>
      <c r="F20" s="21">
        <v>25677622.191913061</v>
      </c>
      <c r="G20" s="20">
        <v>0</v>
      </c>
      <c r="H20" s="20">
        <v>2594.0616159780184</v>
      </c>
      <c r="I20" s="20">
        <v>2611704.2012326289</v>
      </c>
      <c r="J20" s="20">
        <v>1875965.407644996</v>
      </c>
      <c r="K20" s="20">
        <v>2291615.9349099677</v>
      </c>
      <c r="L20" s="20">
        <v>-1839815.8699233858</v>
      </c>
      <c r="M20" s="20">
        <v>2349010.4437192888</v>
      </c>
      <c r="N20" s="20">
        <v>2955145.245538123</v>
      </c>
      <c r="O20" s="20">
        <v>394138.49427495617</v>
      </c>
      <c r="P20" s="20">
        <v>2846266.7966135573</v>
      </c>
      <c r="Q20" s="20">
        <v>-167457.84675901663</v>
      </c>
      <c r="R20" s="20">
        <v>2468913.6993900803</v>
      </c>
      <c r="S20" s="20">
        <v>23383787.172967557</v>
      </c>
      <c r="T20" s="20">
        <v>1572733.3816533862</v>
      </c>
      <c r="U20" s="20">
        <v>11240073.188047741</v>
      </c>
      <c r="V20" s="20">
        <v>7706238.8046518918</v>
      </c>
      <c r="W20" s="20">
        <v>-4141129.2055513305</v>
      </c>
      <c r="X20" s="20">
        <v>-467242.47282059491</v>
      </c>
      <c r="Y20" s="20">
        <v>-3819720.9245147989</v>
      </c>
      <c r="Z20" s="20">
        <v>-2867465.338956303</v>
      </c>
      <c r="AA20" s="20">
        <v>-16748.401325906045</v>
      </c>
      <c r="AB20" s="20">
        <v>-330826.13302880293</v>
      </c>
      <c r="AC20" s="20">
        <v>3168147.5519591123</v>
      </c>
      <c r="AD20" s="20">
        <v>-954544.12175532244</v>
      </c>
      <c r="AE20" s="20">
        <v>-4209873.785955755</v>
      </c>
      <c r="AF20" s="20">
        <v>-361886.6278219833</v>
      </c>
    </row>
    <row r="21" spans="1:32" s="161" customFormat="1" x14ac:dyDescent="0.2">
      <c r="A21" s="160"/>
      <c r="B21" s="172">
        <v>5</v>
      </c>
      <c r="C21" s="13" t="s">
        <v>100</v>
      </c>
      <c r="D21" s="164"/>
      <c r="E21" s="173" t="s">
        <v>35</v>
      </c>
      <c r="F21" s="21"/>
      <c r="G21" s="265" t="s">
        <v>240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1:32" s="161" customFormat="1" x14ac:dyDescent="0.2">
      <c r="A22" s="160"/>
      <c r="B22" s="172">
        <v>6</v>
      </c>
      <c r="C22" s="13" t="s">
        <v>174</v>
      </c>
      <c r="D22" s="164"/>
      <c r="E22" s="173" t="s">
        <v>35</v>
      </c>
      <c r="F22" s="21"/>
      <c r="G22" s="265" t="s">
        <v>240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1:32" x14ac:dyDescent="0.2">
      <c r="A23" s="126"/>
      <c r="B23"/>
      <c r="C23" s="27"/>
      <c r="D23" s="27"/>
      <c r="E23"/>
      <c r="F23" s="161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2" ht="15.75" x14ac:dyDescent="0.25">
      <c r="A24" s="126"/>
      <c r="B24" s="4" t="s">
        <v>77</v>
      </c>
      <c r="C24" s="26"/>
      <c r="D24" s="26"/>
      <c r="E24" s="10"/>
      <c r="F24" s="1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1:32" ht="15.75" x14ac:dyDescent="0.25">
      <c r="A25" s="126"/>
      <c r="B25" s="6" t="s">
        <v>14</v>
      </c>
      <c r="C25" s="9" t="s">
        <v>13</v>
      </c>
      <c r="D25" s="9"/>
      <c r="E25" s="7" t="s">
        <v>22</v>
      </c>
      <c r="F25" s="7" t="s">
        <v>37</v>
      </c>
      <c r="G25" s="12" t="s">
        <v>103</v>
      </c>
      <c r="H25" s="12" t="s">
        <v>104</v>
      </c>
      <c r="I25" s="12" t="s">
        <v>105</v>
      </c>
      <c r="J25" s="12" t="s">
        <v>106</v>
      </c>
      <c r="K25" s="12" t="s">
        <v>107</v>
      </c>
      <c r="L25" s="12" t="s">
        <v>108</v>
      </c>
      <c r="M25" s="12" t="s">
        <v>109</v>
      </c>
      <c r="N25" s="12" t="s">
        <v>110</v>
      </c>
      <c r="O25" s="12" t="s">
        <v>111</v>
      </c>
      <c r="P25" s="12" t="s">
        <v>112</v>
      </c>
      <c r="Q25" s="12" t="s">
        <v>113</v>
      </c>
      <c r="R25" s="12" t="s">
        <v>114</v>
      </c>
      <c r="S25" s="12" t="s">
        <v>115</v>
      </c>
      <c r="T25" s="12" t="s">
        <v>116</v>
      </c>
      <c r="U25" s="12" t="s">
        <v>117</v>
      </c>
      <c r="V25" s="12" t="s">
        <v>118</v>
      </c>
      <c r="W25" s="12" t="s">
        <v>119</v>
      </c>
      <c r="X25" s="12" t="s">
        <v>120</v>
      </c>
      <c r="Y25" s="12" t="s">
        <v>121</v>
      </c>
      <c r="Z25" s="12" t="s">
        <v>122</v>
      </c>
      <c r="AA25" s="12" t="s">
        <v>123</v>
      </c>
      <c r="AB25" s="12" t="s">
        <v>124</v>
      </c>
      <c r="AC25" s="12" t="s">
        <v>125</v>
      </c>
      <c r="AD25" s="12" t="s">
        <v>126</v>
      </c>
      <c r="AE25" s="12" t="s">
        <v>127</v>
      </c>
      <c r="AF25" s="171" t="s">
        <v>153</v>
      </c>
    </row>
    <row r="26" spans="1:32" x14ac:dyDescent="0.2">
      <c r="A26" s="126"/>
      <c r="B26" s="172">
        <v>1</v>
      </c>
      <c r="C26" s="13" t="s">
        <v>96</v>
      </c>
      <c r="D26" s="164"/>
      <c r="E26" s="173" t="s">
        <v>35</v>
      </c>
      <c r="F26" s="21">
        <v>-167203133.55098665</v>
      </c>
      <c r="G26" s="20">
        <v>0</v>
      </c>
      <c r="H26" s="20">
        <v>-52750000</v>
      </c>
      <c r="I26" s="20">
        <v>-52750000</v>
      </c>
      <c r="J26" s="20">
        <v>-52750000</v>
      </c>
      <c r="K26" s="20">
        <v>-54860000</v>
      </c>
      <c r="L26" s="20">
        <v>-2110000</v>
      </c>
      <c r="M26" s="20">
        <v>-2110000</v>
      </c>
      <c r="N26" s="20">
        <v>-2110000</v>
      </c>
      <c r="O26" s="20">
        <v>-2110000</v>
      </c>
      <c r="P26" s="20">
        <v>-2110000</v>
      </c>
      <c r="Q26" s="20">
        <v>-2110000</v>
      </c>
      <c r="R26" s="20">
        <v>-2110000</v>
      </c>
      <c r="S26" s="20">
        <v>-2110000</v>
      </c>
      <c r="T26" s="20">
        <v>-2110000</v>
      </c>
      <c r="U26" s="20">
        <v>-2110000</v>
      </c>
      <c r="V26" s="20">
        <v>-2110000</v>
      </c>
      <c r="W26" s="20">
        <v>-2110000</v>
      </c>
      <c r="X26" s="20">
        <v>-2110000</v>
      </c>
      <c r="Y26" s="20">
        <v>-2110000</v>
      </c>
      <c r="Z26" s="20">
        <v>-2110000</v>
      </c>
      <c r="AA26" s="20">
        <v>-2110000</v>
      </c>
      <c r="AB26" s="20">
        <v>-2110000</v>
      </c>
      <c r="AC26" s="20">
        <v>-2110000</v>
      </c>
      <c r="AD26" s="20">
        <v>-2110000</v>
      </c>
      <c r="AE26" s="20">
        <v>-2110000</v>
      </c>
      <c r="AF26" s="20">
        <v>114070000</v>
      </c>
    </row>
    <row r="27" spans="1:32" x14ac:dyDescent="0.2">
      <c r="A27" s="126"/>
      <c r="B27" s="172">
        <v>2</v>
      </c>
      <c r="C27" s="13" t="s">
        <v>97</v>
      </c>
      <c r="D27" s="164"/>
      <c r="E27" s="173" t="s">
        <v>35</v>
      </c>
      <c r="F27" s="21">
        <v>-239986728.60139909</v>
      </c>
      <c r="G27" s="20">
        <v>0</v>
      </c>
      <c r="H27" s="20">
        <v>-75750000</v>
      </c>
      <c r="I27" s="20">
        <v>-75750000</v>
      </c>
      <c r="J27" s="20">
        <v>-75750000</v>
      </c>
      <c r="K27" s="20">
        <v>-78780000</v>
      </c>
      <c r="L27" s="20">
        <v>-3030000</v>
      </c>
      <c r="M27" s="20">
        <v>-3030000</v>
      </c>
      <c r="N27" s="20">
        <v>-3030000</v>
      </c>
      <c r="O27" s="20">
        <v>-3030000</v>
      </c>
      <c r="P27" s="20">
        <v>-3030000</v>
      </c>
      <c r="Q27" s="20">
        <v>-3030000</v>
      </c>
      <c r="R27" s="20">
        <v>-3030000</v>
      </c>
      <c r="S27" s="20">
        <v>-3030000</v>
      </c>
      <c r="T27" s="20">
        <v>-3030000</v>
      </c>
      <c r="U27" s="20">
        <v>-3030000</v>
      </c>
      <c r="V27" s="20">
        <v>-3030000</v>
      </c>
      <c r="W27" s="20">
        <v>-3030000</v>
      </c>
      <c r="X27" s="20">
        <v>-3030000</v>
      </c>
      <c r="Y27" s="20">
        <v>-3030000</v>
      </c>
      <c r="Z27" s="20">
        <v>-3030000</v>
      </c>
      <c r="AA27" s="20">
        <v>-3030000</v>
      </c>
      <c r="AB27" s="20">
        <v>-3030000</v>
      </c>
      <c r="AC27" s="20">
        <v>-3030000</v>
      </c>
      <c r="AD27" s="20">
        <v>-3030000</v>
      </c>
      <c r="AE27" s="20">
        <v>-3030000</v>
      </c>
      <c r="AF27" s="20">
        <v>164340000</v>
      </c>
    </row>
    <row r="28" spans="1:32" x14ac:dyDescent="0.2">
      <c r="A28" s="126"/>
      <c r="B28" s="172">
        <v>3</v>
      </c>
      <c r="C28" s="13" t="s">
        <v>98</v>
      </c>
      <c r="D28" s="164"/>
      <c r="E28" s="173" t="s">
        <v>35</v>
      </c>
      <c r="F28" s="21">
        <v>-311164907.86338294</v>
      </c>
      <c r="G28" s="20">
        <v>0</v>
      </c>
      <c r="H28" s="20">
        <v>-98250000</v>
      </c>
      <c r="I28" s="20">
        <v>-98250000</v>
      </c>
      <c r="J28" s="20">
        <v>-98250000</v>
      </c>
      <c r="K28" s="20">
        <v>-102180000</v>
      </c>
      <c r="L28" s="20">
        <v>-3930000</v>
      </c>
      <c r="M28" s="20">
        <v>-3930000</v>
      </c>
      <c r="N28" s="20">
        <v>-3930000</v>
      </c>
      <c r="O28" s="20">
        <v>-3930000</v>
      </c>
      <c r="P28" s="20">
        <v>-3930000</v>
      </c>
      <c r="Q28" s="20">
        <v>-3930000</v>
      </c>
      <c r="R28" s="20">
        <v>-3930000</v>
      </c>
      <c r="S28" s="20">
        <v>-3930000</v>
      </c>
      <c r="T28" s="20">
        <v>-3930000</v>
      </c>
      <c r="U28" s="20">
        <v>-3930000</v>
      </c>
      <c r="V28" s="20">
        <v>-3930000</v>
      </c>
      <c r="W28" s="20">
        <v>-3930000</v>
      </c>
      <c r="X28" s="20">
        <v>-3930000</v>
      </c>
      <c r="Y28" s="20">
        <v>-3930000</v>
      </c>
      <c r="Z28" s="20">
        <v>-3930000</v>
      </c>
      <c r="AA28" s="20">
        <v>-3930000</v>
      </c>
      <c r="AB28" s="20">
        <v>-3930000</v>
      </c>
      <c r="AC28" s="20">
        <v>-3930000</v>
      </c>
      <c r="AD28" s="20">
        <v>-3930000</v>
      </c>
      <c r="AE28" s="20">
        <v>-3930000</v>
      </c>
      <c r="AF28" s="20">
        <v>213620000</v>
      </c>
    </row>
    <row r="29" spans="1:32" x14ac:dyDescent="0.2">
      <c r="A29" s="126"/>
      <c r="B29" s="172">
        <v>4</v>
      </c>
      <c r="C29" s="13" t="s">
        <v>99</v>
      </c>
      <c r="D29" s="164"/>
      <c r="E29" s="173" t="s">
        <v>35</v>
      </c>
      <c r="F29" s="21">
        <v>-42585643.701457031</v>
      </c>
      <c r="G29" s="20">
        <v>0</v>
      </c>
      <c r="H29" s="20">
        <v>-16666666.666666666</v>
      </c>
      <c r="I29" s="20">
        <v>-16666666.666666666</v>
      </c>
      <c r="J29" s="20">
        <v>-17166666.666666664</v>
      </c>
      <c r="K29" s="20">
        <v>-500000</v>
      </c>
      <c r="L29" s="20">
        <v>-500000</v>
      </c>
      <c r="M29" s="20">
        <v>-500000</v>
      </c>
      <c r="N29" s="20">
        <v>-500000</v>
      </c>
      <c r="O29" s="20">
        <v>-500000</v>
      </c>
      <c r="P29" s="20">
        <v>-500000</v>
      </c>
      <c r="Q29" s="20">
        <v>-500000</v>
      </c>
      <c r="R29" s="20">
        <v>-500000</v>
      </c>
      <c r="S29" s="20">
        <v>-500000</v>
      </c>
      <c r="T29" s="20">
        <v>-500000</v>
      </c>
      <c r="U29" s="20">
        <v>-500000</v>
      </c>
      <c r="V29" s="20">
        <v>-500000</v>
      </c>
      <c r="W29" s="20">
        <v>-500000</v>
      </c>
      <c r="X29" s="20">
        <v>-500000</v>
      </c>
      <c r="Y29" s="20">
        <v>-500000</v>
      </c>
      <c r="Z29" s="20">
        <v>-500000</v>
      </c>
      <c r="AA29" s="20">
        <v>-500000</v>
      </c>
      <c r="AB29" s="20">
        <v>-500000</v>
      </c>
      <c r="AC29" s="20">
        <v>-500000</v>
      </c>
      <c r="AD29" s="20">
        <v>-500000</v>
      </c>
      <c r="AE29" s="20">
        <v>-500000</v>
      </c>
      <c r="AF29" s="20">
        <v>20750000</v>
      </c>
    </row>
    <row r="30" spans="1:32" s="161" customFormat="1" x14ac:dyDescent="0.2">
      <c r="A30" s="126"/>
      <c r="B30" s="172">
        <v>5</v>
      </c>
      <c r="C30" s="13" t="s">
        <v>100</v>
      </c>
      <c r="D30" s="164"/>
      <c r="E30" s="173" t="s">
        <v>35</v>
      </c>
      <c r="F30" s="21"/>
      <c r="G30" s="265" t="s">
        <v>240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1:32" s="161" customFormat="1" x14ac:dyDescent="0.2">
      <c r="A31" s="126"/>
      <c r="B31" s="172">
        <v>6</v>
      </c>
      <c r="C31" s="13" t="s">
        <v>174</v>
      </c>
      <c r="D31" s="164"/>
      <c r="E31" s="173" t="s">
        <v>35</v>
      </c>
      <c r="F31" s="21"/>
      <c r="G31" s="265" t="s">
        <v>240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  <row r="32" spans="1:32" x14ac:dyDescent="0.2">
      <c r="B32"/>
      <c r="C32" s="27"/>
      <c r="D32" s="27"/>
      <c r="E32"/>
      <c r="F32"/>
    </row>
    <row r="33" spans="1:32" ht="21" x14ac:dyDescent="0.35">
      <c r="B33" s="5" t="s">
        <v>50</v>
      </c>
      <c r="C33" s="28"/>
      <c r="D33" s="28"/>
      <c r="E33" s="5"/>
      <c r="F33" s="130"/>
      <c r="G33" s="130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162"/>
    </row>
    <row r="34" spans="1:32" x14ac:dyDescent="0.2">
      <c r="B34"/>
      <c r="C34" s="27"/>
      <c r="D34" s="27"/>
      <c r="E34"/>
      <c r="F34"/>
    </row>
    <row r="35" spans="1:32" ht="15.75" x14ac:dyDescent="0.25">
      <c r="B35" s="58" t="s">
        <v>90</v>
      </c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</row>
    <row r="36" spans="1:32" x14ac:dyDescent="0.2">
      <c r="B36" s="24" t="s">
        <v>94</v>
      </c>
      <c r="C36" s="24"/>
      <c r="D36" s="24"/>
      <c r="E36" s="24"/>
      <c r="F36" s="24"/>
      <c r="G36" s="142">
        <v>1</v>
      </c>
      <c r="H36" s="142">
        <v>2</v>
      </c>
      <c r="I36" s="142">
        <v>3</v>
      </c>
      <c r="J36" s="142">
        <v>4</v>
      </c>
      <c r="K36" s="142">
        <v>5</v>
      </c>
      <c r="L36" s="142">
        <v>6</v>
      </c>
      <c r="M36" s="142">
        <v>7</v>
      </c>
      <c r="N36" s="142">
        <v>8</v>
      </c>
      <c r="O36" s="142">
        <v>9</v>
      </c>
      <c r="P36" s="142">
        <v>10</v>
      </c>
      <c r="Q36" s="142">
        <v>11</v>
      </c>
      <c r="R36" s="142">
        <v>12</v>
      </c>
      <c r="S36" s="142">
        <v>13</v>
      </c>
      <c r="T36" s="142">
        <v>14</v>
      </c>
      <c r="U36" s="142">
        <v>15</v>
      </c>
      <c r="V36" s="142">
        <v>16</v>
      </c>
      <c r="W36" s="142">
        <v>17</v>
      </c>
      <c r="X36" s="142">
        <v>18</v>
      </c>
      <c r="Y36" s="142">
        <v>19</v>
      </c>
      <c r="Z36" s="142">
        <v>20</v>
      </c>
      <c r="AA36" s="142">
        <v>21</v>
      </c>
      <c r="AB36" s="142">
        <v>22</v>
      </c>
      <c r="AC36" s="142">
        <v>23</v>
      </c>
      <c r="AD36" s="142">
        <v>24</v>
      </c>
      <c r="AE36" s="142">
        <v>25</v>
      </c>
      <c r="AF36" s="142">
        <v>26</v>
      </c>
    </row>
    <row r="37" spans="1:32" x14ac:dyDescent="0.2">
      <c r="B37" s="24" t="s">
        <v>92</v>
      </c>
      <c r="C37" s="24"/>
      <c r="D37" s="24"/>
      <c r="E37" s="24"/>
      <c r="F37" s="24"/>
      <c r="G37" s="142" t="s">
        <v>103</v>
      </c>
      <c r="H37" s="142" t="s">
        <v>104</v>
      </c>
      <c r="I37" s="142" t="s">
        <v>105</v>
      </c>
      <c r="J37" s="142" t="s">
        <v>106</v>
      </c>
      <c r="K37" s="142" t="s">
        <v>107</v>
      </c>
      <c r="L37" s="142" t="s">
        <v>108</v>
      </c>
      <c r="M37" s="142" t="s">
        <v>109</v>
      </c>
      <c r="N37" s="142" t="s">
        <v>110</v>
      </c>
      <c r="O37" s="142" t="s">
        <v>111</v>
      </c>
      <c r="P37" s="142" t="s">
        <v>112</v>
      </c>
      <c r="Q37" s="142" t="s">
        <v>113</v>
      </c>
      <c r="R37" s="142" t="s">
        <v>114</v>
      </c>
      <c r="S37" s="142" t="s">
        <v>115</v>
      </c>
      <c r="T37" s="142" t="s">
        <v>116</v>
      </c>
      <c r="U37" s="142" t="s">
        <v>117</v>
      </c>
      <c r="V37" s="142" t="s">
        <v>118</v>
      </c>
      <c r="W37" s="142" t="s">
        <v>119</v>
      </c>
      <c r="X37" s="142" t="s">
        <v>120</v>
      </c>
      <c r="Y37" s="142" t="s">
        <v>121</v>
      </c>
      <c r="Z37" s="142" t="s">
        <v>122</v>
      </c>
      <c r="AA37" s="142" t="s">
        <v>123</v>
      </c>
      <c r="AB37" s="142" t="s">
        <v>124</v>
      </c>
      <c r="AC37" s="142" t="s">
        <v>125</v>
      </c>
      <c r="AD37" s="142" t="s">
        <v>126</v>
      </c>
      <c r="AE37" s="142" t="s">
        <v>127</v>
      </c>
      <c r="AF37" s="142" t="s">
        <v>153</v>
      </c>
    </row>
    <row r="38" spans="1:32" x14ac:dyDescent="0.2">
      <c r="B38" s="24" t="s">
        <v>91</v>
      </c>
      <c r="C38" s="24"/>
      <c r="D38" s="24"/>
      <c r="E38" s="24"/>
      <c r="F38" s="24"/>
      <c r="G38" s="142" t="s">
        <v>210</v>
      </c>
      <c r="H38" s="142" t="s">
        <v>211</v>
      </c>
      <c r="I38" s="142" t="s">
        <v>212</v>
      </c>
      <c r="J38" s="142" t="s">
        <v>213</v>
      </c>
      <c r="K38" s="142" t="s">
        <v>214</v>
      </c>
      <c r="L38" s="142" t="s">
        <v>215</v>
      </c>
      <c r="M38" s="142" t="s">
        <v>216</v>
      </c>
      <c r="N38" s="142" t="s">
        <v>217</v>
      </c>
      <c r="O38" s="142" t="s">
        <v>218</v>
      </c>
      <c r="P38" s="142" t="s">
        <v>219</v>
      </c>
      <c r="Q38" s="142" t="s">
        <v>220</v>
      </c>
      <c r="R38" s="142" t="s">
        <v>221</v>
      </c>
      <c r="S38" s="142" t="s">
        <v>222</v>
      </c>
      <c r="T38" s="142" t="s">
        <v>223</v>
      </c>
      <c r="U38" s="142" t="s">
        <v>224</v>
      </c>
      <c r="V38" s="142" t="s">
        <v>225</v>
      </c>
      <c r="W38" s="142" t="s">
        <v>226</v>
      </c>
      <c r="X38" s="142" t="s">
        <v>227</v>
      </c>
      <c r="Y38" s="142" t="s">
        <v>228</v>
      </c>
      <c r="Z38" s="142" t="s">
        <v>229</v>
      </c>
      <c r="AA38" s="142" t="s">
        <v>230</v>
      </c>
      <c r="AB38" s="142" t="s">
        <v>231</v>
      </c>
      <c r="AC38" s="142" t="s">
        <v>232</v>
      </c>
      <c r="AD38" s="142" t="s">
        <v>233</v>
      </c>
      <c r="AE38" s="142" t="s">
        <v>234</v>
      </c>
      <c r="AF38" s="142" t="s">
        <v>235</v>
      </c>
    </row>
    <row r="39" spans="1:32" x14ac:dyDescent="0.2">
      <c r="B39" s="24" t="s">
        <v>89</v>
      </c>
      <c r="C39" s="24"/>
      <c r="D39" s="24"/>
      <c r="E39" s="24"/>
      <c r="F39" s="24"/>
      <c r="G39" s="142">
        <v>2021</v>
      </c>
      <c r="H39" s="142">
        <v>2022</v>
      </c>
      <c r="I39" s="142">
        <v>2023</v>
      </c>
      <c r="J39" s="142">
        <v>2024</v>
      </c>
      <c r="K39" s="142">
        <v>2025</v>
      </c>
      <c r="L39" s="142">
        <v>2026</v>
      </c>
      <c r="M39" s="142">
        <v>2027</v>
      </c>
      <c r="N39" s="142">
        <v>2028</v>
      </c>
      <c r="O39" s="142">
        <v>2029</v>
      </c>
      <c r="P39" s="142">
        <v>2030</v>
      </c>
      <c r="Q39" s="142">
        <v>2031</v>
      </c>
      <c r="R39" s="142">
        <v>2032</v>
      </c>
      <c r="S39" s="142">
        <v>2033</v>
      </c>
      <c r="T39" s="142">
        <v>2034</v>
      </c>
      <c r="U39" s="142">
        <v>2035</v>
      </c>
      <c r="V39" s="142">
        <v>2036</v>
      </c>
      <c r="W39" s="142">
        <v>2037</v>
      </c>
      <c r="X39" s="142">
        <v>2038</v>
      </c>
      <c r="Y39" s="142">
        <v>2039</v>
      </c>
      <c r="Z39" s="142">
        <v>2040</v>
      </c>
      <c r="AA39" s="142">
        <v>2041</v>
      </c>
      <c r="AB39" s="142">
        <v>2042</v>
      </c>
      <c r="AC39" s="142">
        <v>2043</v>
      </c>
      <c r="AD39" s="142">
        <v>2044</v>
      </c>
      <c r="AE39" s="142">
        <v>2045</v>
      </c>
      <c r="AF39" s="142">
        <v>2046</v>
      </c>
    </row>
    <row r="40" spans="1:32" x14ac:dyDescent="0.2">
      <c r="B40"/>
      <c r="C40" s="27"/>
      <c r="D40" s="27"/>
      <c r="E40"/>
      <c r="F40" s="161"/>
      <c r="G40" s="161"/>
      <c r="H40" s="161"/>
    </row>
    <row r="41" spans="1:32" ht="15.75" x14ac:dyDescent="0.25">
      <c r="B41" s="4" t="s">
        <v>17</v>
      </c>
      <c r="C41" s="26"/>
      <c r="D41" s="26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166"/>
    </row>
    <row r="42" spans="1:32" ht="15.75" x14ac:dyDescent="0.25">
      <c r="B42" s="6" t="s">
        <v>14</v>
      </c>
      <c r="C42" s="9" t="s">
        <v>13</v>
      </c>
      <c r="D42" s="9" t="s">
        <v>55</v>
      </c>
      <c r="E42" s="7" t="s">
        <v>22</v>
      </c>
      <c r="F42" s="7" t="s">
        <v>37</v>
      </c>
      <c r="G42" s="12" t="s">
        <v>103</v>
      </c>
      <c r="H42" s="12" t="s">
        <v>104</v>
      </c>
      <c r="I42" s="12" t="s">
        <v>105</v>
      </c>
      <c r="J42" s="12" t="s">
        <v>106</v>
      </c>
      <c r="K42" s="12" t="s">
        <v>107</v>
      </c>
      <c r="L42" s="12" t="s">
        <v>108</v>
      </c>
      <c r="M42" s="12" t="s">
        <v>109</v>
      </c>
      <c r="N42" s="12" t="s">
        <v>110</v>
      </c>
      <c r="O42" s="12" t="s">
        <v>111</v>
      </c>
      <c r="P42" s="12" t="s">
        <v>112</v>
      </c>
      <c r="Q42" s="12" t="s">
        <v>113</v>
      </c>
      <c r="R42" s="12" t="s">
        <v>114</v>
      </c>
      <c r="S42" s="12" t="s">
        <v>115</v>
      </c>
      <c r="T42" s="12" t="s">
        <v>116</v>
      </c>
      <c r="U42" s="12" t="s">
        <v>117</v>
      </c>
      <c r="V42" s="12" t="s">
        <v>118</v>
      </c>
      <c r="W42" s="12" t="s">
        <v>119</v>
      </c>
      <c r="X42" s="12" t="s">
        <v>120</v>
      </c>
      <c r="Y42" s="12" t="s">
        <v>121</v>
      </c>
      <c r="Z42" s="12" t="s">
        <v>122</v>
      </c>
      <c r="AA42" s="12" t="s">
        <v>123</v>
      </c>
      <c r="AB42" s="12" t="s">
        <v>124</v>
      </c>
      <c r="AC42" s="12" t="s">
        <v>125</v>
      </c>
      <c r="AD42" s="12" t="s">
        <v>126</v>
      </c>
      <c r="AE42" s="12" t="s">
        <v>127</v>
      </c>
      <c r="AF42" s="171" t="s">
        <v>153</v>
      </c>
    </row>
    <row r="43" spans="1:32" x14ac:dyDescent="0.2">
      <c r="A43" s="149"/>
      <c r="B43" s="227">
        <v>1</v>
      </c>
      <c r="C43" s="183" t="s">
        <v>96</v>
      </c>
      <c r="D43" s="183" t="s">
        <v>187</v>
      </c>
      <c r="E43" s="228" t="s">
        <v>35</v>
      </c>
      <c r="F43" s="17">
        <v>-133891535.07992029</v>
      </c>
      <c r="G43" s="16">
        <v>0</v>
      </c>
      <c r="H43" s="16">
        <v>-48250000</v>
      </c>
      <c r="I43" s="16">
        <v>-48250000</v>
      </c>
      <c r="J43" s="16">
        <v>-48250000</v>
      </c>
      <c r="K43" s="16">
        <v>-48250000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108080000</v>
      </c>
    </row>
    <row r="44" spans="1:32" x14ac:dyDescent="0.2">
      <c r="A44" s="126"/>
      <c r="B44" s="227">
        <v>1</v>
      </c>
      <c r="C44" s="183" t="s">
        <v>96</v>
      </c>
      <c r="D44" s="183" t="s">
        <v>188</v>
      </c>
      <c r="E44" s="228" t="s">
        <v>35</v>
      </c>
      <c r="F44" s="17">
        <v>-12933329.750669001</v>
      </c>
      <c r="G44" s="16">
        <v>0</v>
      </c>
      <c r="H44" s="16">
        <v>-4500000</v>
      </c>
      <c r="I44" s="16">
        <v>-4500000</v>
      </c>
      <c r="J44" s="16">
        <v>-4500000</v>
      </c>
      <c r="K44" s="16">
        <v>-4500000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8100000</v>
      </c>
    </row>
    <row r="45" spans="1:32" x14ac:dyDescent="0.2">
      <c r="A45" s="126"/>
      <c r="B45" s="227">
        <v>2</v>
      </c>
      <c r="C45" s="183" t="s">
        <v>97</v>
      </c>
      <c r="D45" s="183" t="s">
        <v>187</v>
      </c>
      <c r="E45" s="228" t="s">
        <v>35</v>
      </c>
      <c r="F45" s="17">
        <v>-195634263.69190425</v>
      </c>
      <c r="G45" s="16">
        <v>0</v>
      </c>
      <c r="H45" s="16">
        <v>-70500000</v>
      </c>
      <c r="I45" s="16">
        <v>-70500000</v>
      </c>
      <c r="J45" s="16">
        <v>-70500000</v>
      </c>
      <c r="K45" s="16">
        <v>-70500000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157920000</v>
      </c>
    </row>
    <row r="46" spans="1:32" x14ac:dyDescent="0.2">
      <c r="A46" s="126"/>
      <c r="B46" s="227">
        <v>2</v>
      </c>
      <c r="C46" s="183" t="s">
        <v>97</v>
      </c>
      <c r="D46" s="183" t="s">
        <v>188</v>
      </c>
      <c r="E46" s="228" t="s">
        <v>35</v>
      </c>
      <c r="F46" s="17">
        <v>-15088884.709113834</v>
      </c>
      <c r="G46" s="16">
        <v>0</v>
      </c>
      <c r="H46" s="16">
        <v>-5250000</v>
      </c>
      <c r="I46" s="16">
        <v>-5250000</v>
      </c>
      <c r="J46" s="16">
        <v>-5250000</v>
      </c>
      <c r="K46" s="16">
        <v>-5250000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9450000</v>
      </c>
    </row>
    <row r="47" spans="1:32" x14ac:dyDescent="0.2">
      <c r="A47" s="126"/>
      <c r="B47" s="227">
        <v>3</v>
      </c>
      <c r="C47" s="183" t="s">
        <v>98</v>
      </c>
      <c r="D47" s="183" t="s">
        <v>187</v>
      </c>
      <c r="E47" s="228" t="s">
        <v>35</v>
      </c>
      <c r="F47" s="17">
        <v>-256683253.78015798</v>
      </c>
      <c r="G47" s="16">
        <v>0</v>
      </c>
      <c r="H47" s="16">
        <v>-92500000</v>
      </c>
      <c r="I47" s="16">
        <v>-92500000</v>
      </c>
      <c r="J47" s="16">
        <v>-92500000</v>
      </c>
      <c r="K47" s="16">
        <v>-92500000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207200000</v>
      </c>
    </row>
    <row r="48" spans="1:32" x14ac:dyDescent="0.2">
      <c r="A48" s="126"/>
      <c r="B48" s="227">
        <v>3</v>
      </c>
      <c r="C48" s="183" t="s">
        <v>98</v>
      </c>
      <c r="D48" s="183" t="s">
        <v>188</v>
      </c>
      <c r="E48" s="228" t="s">
        <v>35</v>
      </c>
      <c r="F48" s="17">
        <v>-16525921.348077057</v>
      </c>
      <c r="G48" s="16">
        <v>0</v>
      </c>
      <c r="H48" s="16">
        <v>-5750000</v>
      </c>
      <c r="I48" s="16">
        <v>-5750000</v>
      </c>
      <c r="J48" s="16">
        <v>-5750000</v>
      </c>
      <c r="K48" s="16">
        <v>-5750000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10350000</v>
      </c>
    </row>
    <row r="49" spans="1:32" x14ac:dyDescent="0.2">
      <c r="A49" s="126"/>
      <c r="B49" s="227">
        <v>4</v>
      </c>
      <c r="C49" s="183" t="s">
        <v>99</v>
      </c>
      <c r="D49" s="183" t="s">
        <v>189</v>
      </c>
      <c r="E49" s="228" t="s">
        <v>35</v>
      </c>
      <c r="F49" s="17">
        <v>-37359125.191602096</v>
      </c>
      <c r="G49" s="16">
        <v>0</v>
      </c>
      <c r="H49" s="16">
        <v>-16666666.666666666</v>
      </c>
      <c r="I49" s="16">
        <v>-16666666.666666666</v>
      </c>
      <c r="J49" s="16">
        <v>-16666666.666666666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21250000</v>
      </c>
    </row>
    <row r="50" spans="1:32" x14ac:dyDescent="0.2">
      <c r="A50" s="126"/>
      <c r="B50" s="227">
        <v>5</v>
      </c>
      <c r="C50" s="183" t="s">
        <v>100</v>
      </c>
      <c r="D50" s="183" t="s">
        <v>187</v>
      </c>
      <c r="E50" s="228" t="s">
        <v>35</v>
      </c>
      <c r="F50" s="17">
        <v>-133891535.07992029</v>
      </c>
      <c r="G50" s="16">
        <v>0</v>
      </c>
      <c r="H50" s="16">
        <v>-48250000</v>
      </c>
      <c r="I50" s="16">
        <v>-48250000</v>
      </c>
      <c r="J50" s="16">
        <v>-48250000</v>
      </c>
      <c r="K50" s="16">
        <v>-48250000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108080000</v>
      </c>
    </row>
    <row r="51" spans="1:32" x14ac:dyDescent="0.2">
      <c r="A51" s="126"/>
      <c r="B51" s="227">
        <v>5</v>
      </c>
      <c r="C51" s="183" t="s">
        <v>100</v>
      </c>
      <c r="D51" s="183" t="s">
        <v>188</v>
      </c>
      <c r="E51" s="228" t="s">
        <v>35</v>
      </c>
      <c r="F51" s="17">
        <v>-12933329.750669001</v>
      </c>
      <c r="G51" s="16">
        <v>0</v>
      </c>
      <c r="H51" s="16">
        <v>-4500000</v>
      </c>
      <c r="I51" s="16">
        <v>-4500000</v>
      </c>
      <c r="J51" s="16">
        <v>-4500000</v>
      </c>
      <c r="K51" s="16">
        <v>-4500000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8100000</v>
      </c>
    </row>
    <row r="52" spans="1:32" x14ac:dyDescent="0.2">
      <c r="A52" s="126"/>
      <c r="B52" s="227">
        <v>5</v>
      </c>
      <c r="C52" s="183" t="s">
        <v>100</v>
      </c>
      <c r="D52" s="183"/>
      <c r="E52" s="228" t="s">
        <v>35</v>
      </c>
      <c r="F52" s="17"/>
      <c r="G52" s="243" t="s">
        <v>240</v>
      </c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5"/>
    </row>
    <row r="53" spans="1:32" x14ac:dyDescent="0.2">
      <c r="A53" s="126"/>
      <c r="B53" s="227">
        <v>6</v>
      </c>
      <c r="C53" s="183" t="s">
        <v>174</v>
      </c>
      <c r="D53" s="183"/>
      <c r="E53" s="228" t="s">
        <v>35</v>
      </c>
      <c r="F53" s="17"/>
      <c r="G53" s="246" t="s">
        <v>240</v>
      </c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17"/>
    </row>
    <row r="54" spans="1:32" x14ac:dyDescent="0.2">
      <c r="A54" s="126"/>
      <c r="B54" s="227">
        <v>6</v>
      </c>
      <c r="C54" s="183" t="s">
        <v>174</v>
      </c>
      <c r="D54" s="183"/>
      <c r="E54" s="228" t="s">
        <v>35</v>
      </c>
      <c r="F54" s="17"/>
      <c r="G54" s="248" t="s">
        <v>240</v>
      </c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50"/>
    </row>
    <row r="55" spans="1:32" x14ac:dyDescent="0.2">
      <c r="B55"/>
      <c r="C55" s="27"/>
      <c r="D55" s="27"/>
      <c r="E55"/>
      <c r="F55"/>
      <c r="AF55" s="161"/>
    </row>
    <row r="56" spans="1:32" ht="15.75" x14ac:dyDescent="0.25">
      <c r="B56" s="4" t="s">
        <v>101</v>
      </c>
      <c r="C56" s="26"/>
      <c r="D56" s="2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166"/>
    </row>
    <row r="57" spans="1:32" ht="15.75" x14ac:dyDescent="0.25">
      <c r="B57" s="6" t="s">
        <v>14</v>
      </c>
      <c r="C57" s="9" t="s">
        <v>13</v>
      </c>
      <c r="D57" s="9"/>
      <c r="E57" s="7" t="s">
        <v>22</v>
      </c>
      <c r="F57" s="7" t="s">
        <v>37</v>
      </c>
      <c r="G57" s="12" t="s">
        <v>103</v>
      </c>
      <c r="H57" s="12" t="s">
        <v>104</v>
      </c>
      <c r="I57" s="12" t="s">
        <v>105</v>
      </c>
      <c r="J57" s="12" t="s">
        <v>106</v>
      </c>
      <c r="K57" s="12" t="s">
        <v>107</v>
      </c>
      <c r="L57" s="12" t="s">
        <v>108</v>
      </c>
      <c r="M57" s="12" t="s">
        <v>109</v>
      </c>
      <c r="N57" s="12" t="s">
        <v>110</v>
      </c>
      <c r="O57" s="12" t="s">
        <v>111</v>
      </c>
      <c r="P57" s="12" t="s">
        <v>112</v>
      </c>
      <c r="Q57" s="12" t="s">
        <v>113</v>
      </c>
      <c r="R57" s="12" t="s">
        <v>114</v>
      </c>
      <c r="S57" s="12" t="s">
        <v>115</v>
      </c>
      <c r="T57" s="12" t="s">
        <v>116</v>
      </c>
      <c r="U57" s="12" t="s">
        <v>117</v>
      </c>
      <c r="V57" s="12" t="s">
        <v>118</v>
      </c>
      <c r="W57" s="12" t="s">
        <v>119</v>
      </c>
      <c r="X57" s="12" t="s">
        <v>120</v>
      </c>
      <c r="Y57" s="12" t="s">
        <v>121</v>
      </c>
      <c r="Z57" s="12" t="s">
        <v>122</v>
      </c>
      <c r="AA57" s="12" t="s">
        <v>123</v>
      </c>
      <c r="AB57" s="12" t="s">
        <v>124</v>
      </c>
      <c r="AC57" s="12" t="s">
        <v>125</v>
      </c>
      <c r="AD57" s="12" t="s">
        <v>126</v>
      </c>
      <c r="AE57" s="12" t="s">
        <v>127</v>
      </c>
      <c r="AF57" s="171" t="s">
        <v>153</v>
      </c>
    </row>
    <row r="58" spans="1:32" x14ac:dyDescent="0.2">
      <c r="A58" s="149"/>
      <c r="B58" s="172">
        <v>1</v>
      </c>
      <c r="C58" s="13" t="s">
        <v>96</v>
      </c>
      <c r="D58" s="164"/>
      <c r="E58" s="173" t="s">
        <v>35</v>
      </c>
      <c r="F58" s="17">
        <v>-146824864.83058929</v>
      </c>
      <c r="G58" s="16">
        <v>0</v>
      </c>
      <c r="H58" s="16">
        <v>-52750000</v>
      </c>
      <c r="I58" s="16">
        <v>-52750000</v>
      </c>
      <c r="J58" s="16">
        <v>-52750000</v>
      </c>
      <c r="K58" s="16">
        <v>-52750000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116180000</v>
      </c>
    </row>
    <row r="59" spans="1:32" x14ac:dyDescent="0.2">
      <c r="A59" s="149"/>
      <c r="B59" s="172">
        <v>2</v>
      </c>
      <c r="C59" s="13" t="s">
        <v>97</v>
      </c>
      <c r="D59" s="164"/>
      <c r="E59" s="173" t="s">
        <v>35</v>
      </c>
      <c r="F59" s="17">
        <v>-210723148.40101808</v>
      </c>
      <c r="G59" s="16">
        <v>0</v>
      </c>
      <c r="H59" s="16">
        <v>-75750000</v>
      </c>
      <c r="I59" s="16">
        <v>-75750000</v>
      </c>
      <c r="J59" s="16">
        <v>-75750000</v>
      </c>
      <c r="K59" s="16">
        <v>-75750000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167370000</v>
      </c>
    </row>
    <row r="60" spans="1:32" x14ac:dyDescent="0.2">
      <c r="A60" s="149"/>
      <c r="B60" s="172">
        <v>3</v>
      </c>
      <c r="C60" s="13" t="s">
        <v>98</v>
      </c>
      <c r="D60" s="164"/>
      <c r="E60" s="173" t="s">
        <v>35</v>
      </c>
      <c r="F60" s="17">
        <v>-273209175.12823516</v>
      </c>
      <c r="G60" s="16">
        <v>0</v>
      </c>
      <c r="H60" s="16">
        <v>-98250000</v>
      </c>
      <c r="I60" s="16">
        <v>-98250000</v>
      </c>
      <c r="J60" s="16">
        <v>-98250000</v>
      </c>
      <c r="K60" s="16">
        <v>-98250000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217550000</v>
      </c>
    </row>
    <row r="61" spans="1:32" x14ac:dyDescent="0.2">
      <c r="A61" s="149"/>
      <c r="B61" s="172">
        <v>4</v>
      </c>
      <c r="C61" s="13" t="s">
        <v>99</v>
      </c>
      <c r="D61" s="164"/>
      <c r="E61" s="173" t="s">
        <v>35</v>
      </c>
      <c r="F61" s="17">
        <v>-37359125.191602096</v>
      </c>
      <c r="G61" s="16">
        <v>0</v>
      </c>
      <c r="H61" s="16">
        <v>-16666666.666666666</v>
      </c>
      <c r="I61" s="16">
        <v>-16666666.666666666</v>
      </c>
      <c r="J61" s="16">
        <v>-16666666.666666666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21250000</v>
      </c>
    </row>
    <row r="62" spans="1:32" s="161" customFormat="1" x14ac:dyDescent="0.2">
      <c r="A62" s="149"/>
      <c r="B62" s="172">
        <v>5</v>
      </c>
      <c r="C62" s="13" t="s">
        <v>100</v>
      </c>
      <c r="D62" s="164"/>
      <c r="E62" s="173" t="s">
        <v>35</v>
      </c>
      <c r="F62" s="17"/>
      <c r="G62" s="16" t="s">
        <v>240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s="161" customFormat="1" x14ac:dyDescent="0.2">
      <c r="A63" s="149"/>
      <c r="B63" s="172">
        <v>6</v>
      </c>
      <c r="C63" s="13" t="s">
        <v>174</v>
      </c>
      <c r="D63" s="164"/>
      <c r="E63" s="173" t="s">
        <v>35</v>
      </c>
      <c r="F63" s="17"/>
      <c r="G63" s="16" t="s">
        <v>240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x14ac:dyDescent="0.2">
      <c r="B64"/>
      <c r="C64" s="27"/>
      <c r="D64" s="27"/>
      <c r="E64"/>
      <c r="F64" s="126"/>
      <c r="AF64" s="161"/>
    </row>
    <row r="65" spans="2:32" ht="15.75" x14ac:dyDescent="0.25">
      <c r="B65" s="4" t="s">
        <v>203</v>
      </c>
      <c r="C65" s="26"/>
      <c r="D65" s="26"/>
      <c r="E65" s="10"/>
      <c r="F65" s="10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166"/>
    </row>
    <row r="66" spans="2:32" ht="15.75" x14ac:dyDescent="0.25">
      <c r="B66" s="6" t="s">
        <v>14</v>
      </c>
      <c r="C66" s="9" t="s">
        <v>13</v>
      </c>
      <c r="D66" s="9"/>
      <c r="E66" s="7" t="s">
        <v>22</v>
      </c>
      <c r="F66" s="7" t="s">
        <v>37</v>
      </c>
      <c r="G66" s="12" t="s">
        <v>103</v>
      </c>
      <c r="H66" s="12" t="s">
        <v>104</v>
      </c>
      <c r="I66" s="12" t="s">
        <v>105</v>
      </c>
      <c r="J66" s="12" t="s">
        <v>106</v>
      </c>
      <c r="K66" s="12" t="s">
        <v>107</v>
      </c>
      <c r="L66" s="12" t="s">
        <v>108</v>
      </c>
      <c r="M66" s="12" t="s">
        <v>109</v>
      </c>
      <c r="N66" s="12" t="s">
        <v>110</v>
      </c>
      <c r="O66" s="12" t="s">
        <v>111</v>
      </c>
      <c r="P66" s="12" t="s">
        <v>112</v>
      </c>
      <c r="Q66" s="12" t="s">
        <v>113</v>
      </c>
      <c r="R66" s="12" t="s">
        <v>114</v>
      </c>
      <c r="S66" s="12" t="s">
        <v>115</v>
      </c>
      <c r="T66" s="12" t="s">
        <v>116</v>
      </c>
      <c r="U66" s="12" t="s">
        <v>117</v>
      </c>
      <c r="V66" s="12" t="s">
        <v>118</v>
      </c>
      <c r="W66" s="12" t="s">
        <v>119</v>
      </c>
      <c r="X66" s="12" t="s">
        <v>120</v>
      </c>
      <c r="Y66" s="12" t="s">
        <v>121</v>
      </c>
      <c r="Z66" s="12" t="s">
        <v>122</v>
      </c>
      <c r="AA66" s="12" t="s">
        <v>123</v>
      </c>
      <c r="AB66" s="12" t="s">
        <v>124</v>
      </c>
      <c r="AC66" s="12" t="s">
        <v>125</v>
      </c>
      <c r="AD66" s="12" t="s">
        <v>126</v>
      </c>
      <c r="AE66" s="12" t="s">
        <v>127</v>
      </c>
      <c r="AF66" s="171" t="s">
        <v>153</v>
      </c>
    </row>
    <row r="67" spans="2:32" x14ac:dyDescent="0.2">
      <c r="B67" s="172">
        <v>1</v>
      </c>
      <c r="C67" s="13" t="s">
        <v>96</v>
      </c>
      <c r="D67" s="164"/>
      <c r="E67" s="173" t="s">
        <v>35</v>
      </c>
      <c r="F67" s="17">
        <v>-20378268.720397383</v>
      </c>
      <c r="G67" s="16">
        <v>0</v>
      </c>
      <c r="H67" s="16">
        <v>0</v>
      </c>
      <c r="I67" s="16">
        <v>0</v>
      </c>
      <c r="J67" s="16">
        <v>0</v>
      </c>
      <c r="K67" s="16">
        <v>-2110000</v>
      </c>
      <c r="L67" s="16">
        <v>-2110000</v>
      </c>
      <c r="M67" s="16">
        <v>-2110000</v>
      </c>
      <c r="N67" s="16">
        <v>-2110000</v>
      </c>
      <c r="O67" s="16">
        <v>-2110000</v>
      </c>
      <c r="P67" s="16">
        <v>-2110000</v>
      </c>
      <c r="Q67" s="16">
        <v>-2110000</v>
      </c>
      <c r="R67" s="16">
        <v>-2110000</v>
      </c>
      <c r="S67" s="16">
        <v>-2110000</v>
      </c>
      <c r="T67" s="16">
        <v>-2110000</v>
      </c>
      <c r="U67" s="16">
        <v>-2110000</v>
      </c>
      <c r="V67" s="16">
        <v>-2110000</v>
      </c>
      <c r="W67" s="16">
        <v>-2110000</v>
      </c>
      <c r="X67" s="16">
        <v>-2110000</v>
      </c>
      <c r="Y67" s="16">
        <v>-2110000</v>
      </c>
      <c r="Z67" s="16">
        <v>-2110000</v>
      </c>
      <c r="AA67" s="16">
        <v>-2110000</v>
      </c>
      <c r="AB67" s="16">
        <v>-2110000</v>
      </c>
      <c r="AC67" s="16">
        <v>-2110000</v>
      </c>
      <c r="AD67" s="16">
        <v>-2110000</v>
      </c>
      <c r="AE67" s="16">
        <v>-2110000</v>
      </c>
      <c r="AF67" s="16">
        <v>-2110000</v>
      </c>
    </row>
    <row r="68" spans="2:32" x14ac:dyDescent="0.2">
      <c r="B68" s="172">
        <v>2</v>
      </c>
      <c r="C68" s="13" t="s">
        <v>97</v>
      </c>
      <c r="D68" s="164"/>
      <c r="E68" s="173" t="s">
        <v>35</v>
      </c>
      <c r="F68" s="17">
        <v>-29263580.200381078</v>
      </c>
      <c r="G68" s="16">
        <v>0</v>
      </c>
      <c r="H68" s="16">
        <v>0</v>
      </c>
      <c r="I68" s="16">
        <v>0</v>
      </c>
      <c r="J68" s="16">
        <v>0</v>
      </c>
      <c r="K68" s="16">
        <v>-3030000</v>
      </c>
      <c r="L68" s="16">
        <v>-3030000</v>
      </c>
      <c r="M68" s="16">
        <v>-3030000</v>
      </c>
      <c r="N68" s="16">
        <v>-3030000</v>
      </c>
      <c r="O68" s="16">
        <v>-3030000</v>
      </c>
      <c r="P68" s="16">
        <v>-3030000</v>
      </c>
      <c r="Q68" s="16">
        <v>-3030000</v>
      </c>
      <c r="R68" s="16">
        <v>-3030000</v>
      </c>
      <c r="S68" s="16">
        <v>-3030000</v>
      </c>
      <c r="T68" s="16">
        <v>-3030000</v>
      </c>
      <c r="U68" s="16">
        <v>-3030000</v>
      </c>
      <c r="V68" s="16">
        <v>-3030000</v>
      </c>
      <c r="W68" s="16">
        <v>-3030000</v>
      </c>
      <c r="X68" s="16">
        <v>-3030000</v>
      </c>
      <c r="Y68" s="16">
        <v>-3030000</v>
      </c>
      <c r="Z68" s="16">
        <v>-3030000</v>
      </c>
      <c r="AA68" s="16">
        <v>-3030000</v>
      </c>
      <c r="AB68" s="16">
        <v>-3030000</v>
      </c>
      <c r="AC68" s="16">
        <v>-3030000</v>
      </c>
      <c r="AD68" s="16">
        <v>-3030000</v>
      </c>
      <c r="AE68" s="16">
        <v>-3030000</v>
      </c>
      <c r="AF68" s="16">
        <v>-3030000</v>
      </c>
    </row>
    <row r="69" spans="2:32" x14ac:dyDescent="0.2">
      <c r="B69" s="172">
        <v>3</v>
      </c>
      <c r="C69" s="13" t="s">
        <v>98</v>
      </c>
      <c r="D69" s="164"/>
      <c r="E69" s="173" t="s">
        <v>35</v>
      </c>
      <c r="F69" s="17">
        <v>-37955732.735147744</v>
      </c>
      <c r="G69" s="16">
        <v>0</v>
      </c>
      <c r="H69" s="16">
        <v>0</v>
      </c>
      <c r="I69" s="16">
        <v>0</v>
      </c>
      <c r="J69" s="16">
        <v>0</v>
      </c>
      <c r="K69" s="16">
        <v>-3930000</v>
      </c>
      <c r="L69" s="16">
        <v>-3930000</v>
      </c>
      <c r="M69" s="16">
        <v>-3930000</v>
      </c>
      <c r="N69" s="16">
        <v>-3930000</v>
      </c>
      <c r="O69" s="16">
        <v>-3930000</v>
      </c>
      <c r="P69" s="16">
        <v>-3930000</v>
      </c>
      <c r="Q69" s="16">
        <v>-3930000</v>
      </c>
      <c r="R69" s="16">
        <v>-3930000</v>
      </c>
      <c r="S69" s="16">
        <v>-3930000</v>
      </c>
      <c r="T69" s="16">
        <v>-3930000</v>
      </c>
      <c r="U69" s="16">
        <v>-3930000</v>
      </c>
      <c r="V69" s="16">
        <v>-3930000</v>
      </c>
      <c r="W69" s="16">
        <v>-3930000</v>
      </c>
      <c r="X69" s="16">
        <v>-3930000</v>
      </c>
      <c r="Y69" s="16">
        <v>-3930000</v>
      </c>
      <c r="Z69" s="16">
        <v>-3930000</v>
      </c>
      <c r="AA69" s="16">
        <v>-3930000</v>
      </c>
      <c r="AB69" s="16">
        <v>-3930000</v>
      </c>
      <c r="AC69" s="16">
        <v>-3930000</v>
      </c>
      <c r="AD69" s="16">
        <v>-3930000</v>
      </c>
      <c r="AE69" s="16">
        <v>-3930000</v>
      </c>
      <c r="AF69" s="16">
        <v>-3930000</v>
      </c>
    </row>
    <row r="70" spans="2:32" x14ac:dyDescent="0.2">
      <c r="B70" s="172">
        <v>4</v>
      </c>
      <c r="C70" s="13" t="s">
        <v>99</v>
      </c>
      <c r="D70" s="164"/>
      <c r="E70" s="173" t="s">
        <v>35</v>
      </c>
      <c r="F70" s="17">
        <v>-5226518.5098549332</v>
      </c>
      <c r="G70" s="16">
        <v>0</v>
      </c>
      <c r="H70" s="16">
        <v>0</v>
      </c>
      <c r="I70" s="16">
        <v>0</v>
      </c>
      <c r="J70" s="16">
        <v>-500000</v>
      </c>
      <c r="K70" s="16">
        <v>-500000</v>
      </c>
      <c r="L70" s="16">
        <v>-500000</v>
      </c>
      <c r="M70" s="16">
        <v>-500000</v>
      </c>
      <c r="N70" s="16">
        <v>-500000</v>
      </c>
      <c r="O70" s="16">
        <v>-500000</v>
      </c>
      <c r="P70" s="16">
        <v>-500000</v>
      </c>
      <c r="Q70" s="16">
        <v>-500000</v>
      </c>
      <c r="R70" s="16">
        <v>-500000</v>
      </c>
      <c r="S70" s="16">
        <v>-500000</v>
      </c>
      <c r="T70" s="16">
        <v>-500000</v>
      </c>
      <c r="U70" s="16">
        <v>-500000</v>
      </c>
      <c r="V70" s="16">
        <v>-500000</v>
      </c>
      <c r="W70" s="16">
        <v>-500000</v>
      </c>
      <c r="X70" s="16">
        <v>-500000</v>
      </c>
      <c r="Y70" s="16">
        <v>-500000</v>
      </c>
      <c r="Z70" s="16">
        <v>-500000</v>
      </c>
      <c r="AA70" s="16">
        <v>-500000</v>
      </c>
      <c r="AB70" s="16">
        <v>-500000</v>
      </c>
      <c r="AC70" s="16">
        <v>-500000</v>
      </c>
      <c r="AD70" s="16">
        <v>-500000</v>
      </c>
      <c r="AE70" s="16">
        <v>-500000</v>
      </c>
      <c r="AF70" s="16">
        <v>-500000</v>
      </c>
    </row>
    <row r="71" spans="2:32" s="161" customFormat="1" x14ac:dyDescent="0.2">
      <c r="B71" s="172">
        <v>5</v>
      </c>
      <c r="C71" s="13" t="s">
        <v>100</v>
      </c>
      <c r="D71" s="164"/>
      <c r="E71" s="173" t="s">
        <v>35</v>
      </c>
      <c r="F71" s="17"/>
      <c r="G71" s="16" t="s">
        <v>240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2:32" s="161" customFormat="1" x14ac:dyDescent="0.2">
      <c r="B72" s="172">
        <v>6</v>
      </c>
      <c r="C72" s="13" t="s">
        <v>174</v>
      </c>
      <c r="D72" s="164"/>
      <c r="E72" s="173" t="s">
        <v>35</v>
      </c>
      <c r="F72" s="17"/>
      <c r="G72" s="16" t="s">
        <v>240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2:32" x14ac:dyDescent="0.2">
      <c r="B73"/>
      <c r="C73" s="27"/>
      <c r="D73" s="27"/>
      <c r="E73"/>
      <c r="F73" s="126"/>
      <c r="H73" s="126"/>
      <c r="I73" s="126"/>
      <c r="AF73" s="161"/>
    </row>
    <row r="74" spans="2:32" s="161" customFormat="1" ht="15.75" x14ac:dyDescent="0.25">
      <c r="B74" s="57" t="s">
        <v>190</v>
      </c>
      <c r="C74" s="57"/>
      <c r="D74" s="57"/>
      <c r="E74" s="66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</row>
    <row r="75" spans="2:32" s="161" customFormat="1" ht="15.75" x14ac:dyDescent="0.25">
      <c r="B75" s="58" t="s">
        <v>14</v>
      </c>
      <c r="C75" s="58" t="s">
        <v>13</v>
      </c>
      <c r="D75" s="58"/>
      <c r="E75" s="62" t="s">
        <v>7</v>
      </c>
      <c r="F75" s="62" t="s">
        <v>37</v>
      </c>
      <c r="G75" s="171" t="s">
        <v>103</v>
      </c>
      <c r="H75" s="171" t="s">
        <v>104</v>
      </c>
      <c r="I75" s="171" t="s">
        <v>105</v>
      </c>
      <c r="J75" s="171" t="s">
        <v>106</v>
      </c>
      <c r="K75" s="171" t="s">
        <v>107</v>
      </c>
      <c r="L75" s="171" t="s">
        <v>108</v>
      </c>
      <c r="M75" s="171" t="s">
        <v>109</v>
      </c>
      <c r="N75" s="171" t="s">
        <v>110</v>
      </c>
      <c r="O75" s="171" t="s">
        <v>111</v>
      </c>
      <c r="P75" s="171" t="s">
        <v>112</v>
      </c>
      <c r="Q75" s="171" t="s">
        <v>113</v>
      </c>
      <c r="R75" s="171" t="s">
        <v>114</v>
      </c>
      <c r="S75" s="171" t="s">
        <v>115</v>
      </c>
      <c r="T75" s="171" t="s">
        <v>116</v>
      </c>
      <c r="U75" s="171" t="s">
        <v>117</v>
      </c>
      <c r="V75" s="171" t="s">
        <v>118</v>
      </c>
      <c r="W75" s="171" t="s">
        <v>119</v>
      </c>
      <c r="X75" s="171" t="s">
        <v>120</v>
      </c>
      <c r="Y75" s="171" t="s">
        <v>121</v>
      </c>
      <c r="Z75" s="171" t="s">
        <v>122</v>
      </c>
      <c r="AA75" s="171" t="s">
        <v>123</v>
      </c>
      <c r="AB75" s="171" t="s">
        <v>124</v>
      </c>
      <c r="AC75" s="171" t="s">
        <v>125</v>
      </c>
      <c r="AD75" s="171" t="s">
        <v>126</v>
      </c>
      <c r="AE75" s="171" t="s">
        <v>127</v>
      </c>
      <c r="AF75" s="171" t="s">
        <v>153</v>
      </c>
    </row>
    <row r="76" spans="2:32" s="161" customFormat="1" x14ac:dyDescent="0.2">
      <c r="B76" s="172">
        <v>1</v>
      </c>
      <c r="C76" s="115" t="s">
        <v>96</v>
      </c>
      <c r="D76" s="61"/>
      <c r="E76" s="67" t="s">
        <v>35</v>
      </c>
      <c r="F76" s="17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</row>
    <row r="77" spans="2:32" s="161" customFormat="1" x14ac:dyDescent="0.2">
      <c r="B77" s="172">
        <v>2</v>
      </c>
      <c r="C77" s="115" t="s">
        <v>97</v>
      </c>
      <c r="D77" s="61"/>
      <c r="E77" s="67" t="s">
        <v>35</v>
      </c>
      <c r="F77" s="17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</row>
    <row r="78" spans="2:32" s="161" customFormat="1" x14ac:dyDescent="0.2">
      <c r="B78" s="172">
        <v>3</v>
      </c>
      <c r="C78" s="115" t="s">
        <v>98</v>
      </c>
      <c r="D78" s="61"/>
      <c r="E78" s="67" t="s">
        <v>35</v>
      </c>
      <c r="F78" s="17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</row>
    <row r="79" spans="2:32" s="161" customFormat="1" x14ac:dyDescent="0.2">
      <c r="B79" s="172">
        <v>4</v>
      </c>
      <c r="C79" s="115" t="s">
        <v>99</v>
      </c>
      <c r="D79" s="61"/>
      <c r="E79" s="67" t="s">
        <v>35</v>
      </c>
      <c r="F79" s="17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</row>
    <row r="80" spans="2:32" s="161" customFormat="1" x14ac:dyDescent="0.2">
      <c r="B80" s="172">
        <v>5</v>
      </c>
      <c r="C80" s="115" t="s">
        <v>100</v>
      </c>
      <c r="D80" s="61"/>
      <c r="E80" s="67" t="s">
        <v>35</v>
      </c>
      <c r="F80" s="17"/>
      <c r="G80" s="16" t="s">
        <v>240</v>
      </c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</row>
    <row r="81" spans="1:32" s="161" customFormat="1" x14ac:dyDescent="0.2">
      <c r="B81" s="172">
        <v>6</v>
      </c>
      <c r="C81" s="115" t="s">
        <v>174</v>
      </c>
      <c r="D81" s="61"/>
      <c r="E81" s="67" t="s">
        <v>35</v>
      </c>
      <c r="F81" s="17"/>
      <c r="G81" s="16" t="s">
        <v>240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</row>
    <row r="83" spans="1:32" ht="21" x14ac:dyDescent="0.35">
      <c r="B83" s="5" t="s">
        <v>51</v>
      </c>
      <c r="C83" s="28"/>
      <c r="D83" s="28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162"/>
    </row>
    <row r="84" spans="1:32" x14ac:dyDescent="0.2">
      <c r="B84"/>
      <c r="C84" s="27"/>
      <c r="D84" s="27"/>
      <c r="E84"/>
      <c r="F84"/>
      <c r="AF84" s="161"/>
    </row>
    <row r="85" spans="1:32" ht="15.75" x14ac:dyDescent="0.25">
      <c r="B85" s="4" t="s">
        <v>66</v>
      </c>
      <c r="C85" s="26"/>
      <c r="D85" s="26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166"/>
    </row>
    <row r="86" spans="1:32" ht="15.75" x14ac:dyDescent="0.25">
      <c r="B86" s="6" t="s">
        <v>14</v>
      </c>
      <c r="C86" s="9" t="s">
        <v>13</v>
      </c>
      <c r="D86" s="9"/>
      <c r="E86" s="7" t="s">
        <v>22</v>
      </c>
      <c r="F86" s="7" t="s">
        <v>37</v>
      </c>
      <c r="G86" s="12" t="s">
        <v>103</v>
      </c>
      <c r="H86" s="12" t="s">
        <v>104</v>
      </c>
      <c r="I86" s="12" t="s">
        <v>105</v>
      </c>
      <c r="J86" s="12" t="s">
        <v>106</v>
      </c>
      <c r="K86" s="12" t="s">
        <v>107</v>
      </c>
      <c r="L86" s="12" t="s">
        <v>108</v>
      </c>
      <c r="M86" s="12" t="s">
        <v>109</v>
      </c>
      <c r="N86" s="12" t="s">
        <v>110</v>
      </c>
      <c r="O86" s="12" t="s">
        <v>111</v>
      </c>
      <c r="P86" s="12" t="s">
        <v>112</v>
      </c>
      <c r="Q86" s="12" t="s">
        <v>113</v>
      </c>
      <c r="R86" s="12" t="s">
        <v>114</v>
      </c>
      <c r="S86" s="12" t="s">
        <v>115</v>
      </c>
      <c r="T86" s="12" t="s">
        <v>116</v>
      </c>
      <c r="U86" s="12" t="s">
        <v>117</v>
      </c>
      <c r="V86" s="12" t="s">
        <v>118</v>
      </c>
      <c r="W86" s="12" t="s">
        <v>119</v>
      </c>
      <c r="X86" s="12" t="s">
        <v>120</v>
      </c>
      <c r="Y86" s="12" t="s">
        <v>121</v>
      </c>
      <c r="Z86" s="12" t="s">
        <v>122</v>
      </c>
      <c r="AA86" s="12" t="s">
        <v>123</v>
      </c>
      <c r="AB86" s="12" t="s">
        <v>124</v>
      </c>
      <c r="AC86" s="12" t="s">
        <v>125</v>
      </c>
      <c r="AD86" s="12" t="s">
        <v>126</v>
      </c>
      <c r="AE86" s="12" t="s">
        <v>127</v>
      </c>
      <c r="AF86" s="171" t="s">
        <v>153</v>
      </c>
    </row>
    <row r="87" spans="1:32" x14ac:dyDescent="0.2">
      <c r="A87" s="149"/>
      <c r="B87" s="172">
        <v>1</v>
      </c>
      <c r="C87" s="13" t="s">
        <v>96</v>
      </c>
      <c r="D87" s="164"/>
      <c r="E87" s="173" t="s">
        <v>35</v>
      </c>
      <c r="F87" s="17">
        <v>-2022490.2005950224</v>
      </c>
      <c r="G87" s="16">
        <v>0</v>
      </c>
      <c r="H87" s="16">
        <v>287.10366117954254</v>
      </c>
      <c r="I87" s="16">
        <v>-1709910.2042897865</v>
      </c>
      <c r="J87" s="16">
        <v>-1041487.4739405513</v>
      </c>
      <c r="K87" s="16">
        <v>-1146242.8657124639</v>
      </c>
      <c r="L87" s="16">
        <v>-249.98728073874955</v>
      </c>
      <c r="M87" s="16">
        <v>-223526.68892133236</v>
      </c>
      <c r="N87" s="16">
        <v>-280.97875781446487</v>
      </c>
      <c r="O87" s="16">
        <v>-296.68230665372084</v>
      </c>
      <c r="P87" s="16">
        <v>-314.14928605753528</v>
      </c>
      <c r="Q87" s="16">
        <v>1353987.0883944586</v>
      </c>
      <c r="R87" s="16">
        <v>-353.16857812855631</v>
      </c>
      <c r="S87" s="16">
        <v>-373.19030632987648</v>
      </c>
      <c r="T87" s="16">
        <v>-395.14645390395521</v>
      </c>
      <c r="U87" s="16">
        <v>-418.24765752137233</v>
      </c>
      <c r="V87" s="16">
        <v>-67576.481432612985</v>
      </c>
      <c r="W87" s="16">
        <v>19899.13016633573</v>
      </c>
      <c r="X87" s="16">
        <v>849915.68871179223</v>
      </c>
      <c r="Y87" s="16">
        <v>-525.84912340478536</v>
      </c>
      <c r="Z87" s="16">
        <v>196773.59489313781</v>
      </c>
      <c r="AA87" s="16">
        <v>-589.31956249725135</v>
      </c>
      <c r="AB87" s="16">
        <v>-624.37360008558062</v>
      </c>
      <c r="AC87" s="16">
        <v>31761.171677000821</v>
      </c>
      <c r="AD87" s="16">
        <v>722435.05306055211</v>
      </c>
      <c r="AE87" s="16">
        <v>-741.07652437833349</v>
      </c>
      <c r="AF87" s="16">
        <v>-784.38002051971284</v>
      </c>
    </row>
    <row r="88" spans="1:32" x14ac:dyDescent="0.2">
      <c r="A88" s="149"/>
      <c r="B88" s="172">
        <v>2</v>
      </c>
      <c r="C88" s="13" t="s">
        <v>97</v>
      </c>
      <c r="D88" s="164"/>
      <c r="E88" s="173" t="s">
        <v>35</v>
      </c>
      <c r="F88" s="17">
        <v>-2022490.2005950224</v>
      </c>
      <c r="G88" s="16">
        <v>0</v>
      </c>
      <c r="H88" s="16">
        <v>287.10366117954254</v>
      </c>
      <c r="I88" s="16">
        <v>-1709910.2042897865</v>
      </c>
      <c r="J88" s="16">
        <v>-1041487.4739405513</v>
      </c>
      <c r="K88" s="16">
        <v>-1146242.8657124639</v>
      </c>
      <c r="L88" s="16">
        <v>-249.98728073874955</v>
      </c>
      <c r="M88" s="16">
        <v>-223526.68892133236</v>
      </c>
      <c r="N88" s="16">
        <v>-280.97875781446487</v>
      </c>
      <c r="O88" s="16">
        <v>-296.68230665372084</v>
      </c>
      <c r="P88" s="16">
        <v>-314.14928605753528</v>
      </c>
      <c r="Q88" s="16">
        <v>1353987.0883944586</v>
      </c>
      <c r="R88" s="16">
        <v>-353.16857812855631</v>
      </c>
      <c r="S88" s="16">
        <v>-373.19030632987648</v>
      </c>
      <c r="T88" s="16">
        <v>-395.14645390395521</v>
      </c>
      <c r="U88" s="16">
        <v>-418.24765752137233</v>
      </c>
      <c r="V88" s="16">
        <v>-67576.481432612985</v>
      </c>
      <c r="W88" s="16">
        <v>19899.13016633573</v>
      </c>
      <c r="X88" s="16">
        <v>849915.68871179223</v>
      </c>
      <c r="Y88" s="16">
        <v>-525.84912340478536</v>
      </c>
      <c r="Z88" s="16">
        <v>196773.59489313781</v>
      </c>
      <c r="AA88" s="16">
        <v>-589.31956249725135</v>
      </c>
      <c r="AB88" s="16">
        <v>-624.37360008558062</v>
      </c>
      <c r="AC88" s="16">
        <v>31761.171677000821</v>
      </c>
      <c r="AD88" s="16">
        <v>722435.05306055211</v>
      </c>
      <c r="AE88" s="16">
        <v>-741.07652437833349</v>
      </c>
      <c r="AF88" s="16">
        <v>-784.38002051971284</v>
      </c>
    </row>
    <row r="89" spans="1:32" x14ac:dyDescent="0.2">
      <c r="A89" s="149"/>
      <c r="B89" s="172">
        <v>3</v>
      </c>
      <c r="C89" s="13" t="s">
        <v>98</v>
      </c>
      <c r="D89" s="164"/>
      <c r="E89" s="173" t="s">
        <v>35</v>
      </c>
      <c r="F89" s="17">
        <v>-2033672.1564419947</v>
      </c>
      <c r="G89" s="16">
        <v>0</v>
      </c>
      <c r="H89" s="16">
        <v>463.21979930996895</v>
      </c>
      <c r="I89" s="16">
        <v>-1720316.5274079517</v>
      </c>
      <c r="J89" s="16">
        <v>-1047556.3755585253</v>
      </c>
      <c r="K89" s="16">
        <v>-1153414.5566014051</v>
      </c>
      <c r="L89" s="16">
        <v>-410.68885968461132</v>
      </c>
      <c r="M89" s="16">
        <v>-224838.87125042081</v>
      </c>
      <c r="N89" s="16">
        <v>-461.55514055346504</v>
      </c>
      <c r="O89" s="16">
        <v>-487.32655595078569</v>
      </c>
      <c r="P89" s="16">
        <v>-516.00061044894392</v>
      </c>
      <c r="Q89" s="16">
        <v>1456920.4470178483</v>
      </c>
      <c r="R89" s="16">
        <v>-580.03652473241141</v>
      </c>
      <c r="S89" s="16">
        <v>-612.90448074389747</v>
      </c>
      <c r="T89" s="16">
        <v>-648.93171164718137</v>
      </c>
      <c r="U89" s="16">
        <v>-686.83868271004508</v>
      </c>
      <c r="V89" s="16">
        <v>-47424.464177984744</v>
      </c>
      <c r="W89" s="16">
        <v>33859.302370589692</v>
      </c>
      <c r="X89" s="16">
        <v>702251.15294718742</v>
      </c>
      <c r="Y89" s="16">
        <v>-863.41845078164283</v>
      </c>
      <c r="Z89" s="16">
        <v>165399.50433280063</v>
      </c>
      <c r="AA89" s="16">
        <v>-967.55467947625652</v>
      </c>
      <c r="AB89" s="16">
        <v>-1025.0732331524541</v>
      </c>
      <c r="AC89" s="16">
        <v>28504.216812122613</v>
      </c>
      <c r="AD89" s="16">
        <v>743565.12693775445</v>
      </c>
      <c r="AE89" s="16">
        <v>-1216.5056641681554</v>
      </c>
      <c r="AF89" s="16">
        <v>-1287.5593164696497</v>
      </c>
    </row>
    <row r="90" spans="1:32" x14ac:dyDescent="0.2">
      <c r="A90" s="149"/>
      <c r="B90" s="172">
        <v>4</v>
      </c>
      <c r="C90" s="13" t="s">
        <v>99</v>
      </c>
      <c r="D90" s="164"/>
      <c r="E90" s="173" t="s">
        <v>35</v>
      </c>
      <c r="F90" s="17">
        <v>-299171.52631100669</v>
      </c>
      <c r="G90" s="16">
        <v>0</v>
      </c>
      <c r="H90" s="16">
        <v>-27.637884855270386</v>
      </c>
      <c r="I90" s="16">
        <v>-418347.68843099475</v>
      </c>
      <c r="J90" s="16">
        <v>130664.58827704191</v>
      </c>
      <c r="K90" s="16">
        <v>-225297.96597808599</v>
      </c>
      <c r="L90" s="16">
        <v>24.053381112632962</v>
      </c>
      <c r="M90" s="16">
        <v>-54719.225373215973</v>
      </c>
      <c r="N90" s="16">
        <v>27.064363353441706</v>
      </c>
      <c r="O90" s="16">
        <v>28.592410224307997</v>
      </c>
      <c r="P90" s="16">
        <v>30.286093076305065</v>
      </c>
      <c r="Q90" s="16">
        <v>244315.47391180927</v>
      </c>
      <c r="R90" s="16">
        <v>34.077047025248589</v>
      </c>
      <c r="S90" s="16">
        <v>36.015989216577793</v>
      </c>
      <c r="T90" s="16">
        <v>38.148527671552245</v>
      </c>
      <c r="U90" s="16">
        <v>40.395327093643857</v>
      </c>
      <c r="V90" s="16">
        <v>-68519.994236099534</v>
      </c>
      <c r="W90" s="16">
        <v>-17905.244063235354</v>
      </c>
      <c r="X90" s="16">
        <v>-12985.310818389058</v>
      </c>
      <c r="Y90" s="16">
        <v>50.850976040062278</v>
      </c>
      <c r="Z90" s="16">
        <v>18054.669336542604</v>
      </c>
      <c r="AA90" s="16">
        <v>57.034420912666462</v>
      </c>
      <c r="AB90" s="16">
        <v>60.440425517296262</v>
      </c>
      <c r="AC90" s="16">
        <v>3663.0489352717996</v>
      </c>
      <c r="AD90" s="16">
        <v>224746.03573144786</v>
      </c>
      <c r="AE90" s="16">
        <v>71.805390798777296</v>
      </c>
      <c r="AF90" s="16">
        <v>76.022030564537204</v>
      </c>
    </row>
    <row r="91" spans="1:32" s="161" customFormat="1" x14ac:dyDescent="0.2">
      <c r="A91" s="149"/>
      <c r="B91" s="172">
        <v>5</v>
      </c>
      <c r="C91" s="13" t="s">
        <v>100</v>
      </c>
      <c r="D91" s="164"/>
      <c r="E91" s="173" t="s">
        <v>35</v>
      </c>
      <c r="F91" s="17"/>
      <c r="G91" s="16" t="s">
        <v>240</v>
      </c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s="161" customFormat="1" x14ac:dyDescent="0.2">
      <c r="A92" s="149"/>
      <c r="B92" s="172">
        <v>6</v>
      </c>
      <c r="C92" s="13" t="s">
        <v>174</v>
      </c>
      <c r="D92" s="164"/>
      <c r="E92" s="173" t="s">
        <v>35</v>
      </c>
      <c r="F92" s="17"/>
      <c r="G92" s="16" t="s">
        <v>240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x14ac:dyDescent="0.2">
      <c r="B93"/>
      <c r="C93" s="27"/>
      <c r="D93" s="27"/>
      <c r="E93"/>
      <c r="F93" s="126"/>
      <c r="AF93" s="161"/>
    </row>
    <row r="94" spans="1:32" ht="15.75" x14ac:dyDescent="0.25">
      <c r="B94" s="4" t="s">
        <v>60</v>
      </c>
      <c r="C94" s="26"/>
      <c r="D94" s="26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166"/>
    </row>
    <row r="95" spans="1:32" ht="15.75" x14ac:dyDescent="0.25">
      <c r="B95" s="6" t="s">
        <v>14</v>
      </c>
      <c r="C95" s="9" t="s">
        <v>13</v>
      </c>
      <c r="D95" s="9"/>
      <c r="E95" s="7" t="s">
        <v>22</v>
      </c>
      <c r="F95" s="7" t="s">
        <v>37</v>
      </c>
      <c r="G95" s="12" t="s">
        <v>103</v>
      </c>
      <c r="H95" s="12" t="s">
        <v>104</v>
      </c>
      <c r="I95" s="12" t="s">
        <v>105</v>
      </c>
      <c r="J95" s="12" t="s">
        <v>106</v>
      </c>
      <c r="K95" s="12" t="s">
        <v>107</v>
      </c>
      <c r="L95" s="12" t="s">
        <v>108</v>
      </c>
      <c r="M95" s="12" t="s">
        <v>109</v>
      </c>
      <c r="N95" s="12" t="s">
        <v>110</v>
      </c>
      <c r="O95" s="12" t="s">
        <v>111</v>
      </c>
      <c r="P95" s="12" t="s">
        <v>112</v>
      </c>
      <c r="Q95" s="12" t="s">
        <v>113</v>
      </c>
      <c r="R95" s="12" t="s">
        <v>114</v>
      </c>
      <c r="S95" s="12" t="s">
        <v>115</v>
      </c>
      <c r="T95" s="12" t="s">
        <v>116</v>
      </c>
      <c r="U95" s="12" t="s">
        <v>117</v>
      </c>
      <c r="V95" s="12" t="s">
        <v>118</v>
      </c>
      <c r="W95" s="12" t="s">
        <v>119</v>
      </c>
      <c r="X95" s="12" t="s">
        <v>120</v>
      </c>
      <c r="Y95" s="12" t="s">
        <v>121</v>
      </c>
      <c r="Z95" s="12" t="s">
        <v>122</v>
      </c>
      <c r="AA95" s="12" t="s">
        <v>123</v>
      </c>
      <c r="AB95" s="12" t="s">
        <v>124</v>
      </c>
      <c r="AC95" s="12" t="s">
        <v>125</v>
      </c>
      <c r="AD95" s="12" t="s">
        <v>126</v>
      </c>
      <c r="AE95" s="12" t="s">
        <v>127</v>
      </c>
      <c r="AF95" s="171" t="s">
        <v>153</v>
      </c>
    </row>
    <row r="96" spans="1:32" x14ac:dyDescent="0.2">
      <c r="A96" s="161"/>
      <c r="B96" s="172">
        <v>1</v>
      </c>
      <c r="C96" s="13" t="s">
        <v>96</v>
      </c>
      <c r="D96" s="164"/>
      <c r="E96" s="173" t="s">
        <v>35</v>
      </c>
      <c r="F96" s="17">
        <v>709349.97862462758</v>
      </c>
      <c r="G96" s="16">
        <v>0</v>
      </c>
      <c r="H96" s="16">
        <v>-342.10222098561167</v>
      </c>
      <c r="I96" s="16">
        <v>-1446.7669098585905</v>
      </c>
      <c r="J96" s="16">
        <v>-185.7204944818443</v>
      </c>
      <c r="K96" s="16">
        <v>-56.884011351206254</v>
      </c>
      <c r="L96" s="16">
        <v>-239.90016206659479</v>
      </c>
      <c r="M96" s="16">
        <v>-508.06272631315613</v>
      </c>
      <c r="N96" s="16">
        <v>-192.53800191967571</v>
      </c>
      <c r="O96" s="16">
        <v>-379.70271855017785</v>
      </c>
      <c r="P96" s="16">
        <v>-732.37491930869294</v>
      </c>
      <c r="Q96" s="16">
        <v>-358.56521730531881</v>
      </c>
      <c r="R96" s="16">
        <v>-139.38232866175116</v>
      </c>
      <c r="S96" s="16">
        <v>-1641.4923533444021</v>
      </c>
      <c r="T96" s="16">
        <v>-177.50255804714573</v>
      </c>
      <c r="U96" s="16">
        <v>4219259.0785574764</v>
      </c>
      <c r="V96" s="16">
        <v>-5642921.2995007634</v>
      </c>
      <c r="W96" s="16">
        <v>-326.25881011739335</v>
      </c>
      <c r="X96" s="16">
        <v>8418407.320068121</v>
      </c>
      <c r="Y96" s="16">
        <v>6830400.3335466385</v>
      </c>
      <c r="Z96" s="16">
        <v>-1364071.311181346</v>
      </c>
      <c r="AA96" s="16">
        <v>-96.53442005609071</v>
      </c>
      <c r="AB96" s="16">
        <v>-12973656.728126794</v>
      </c>
      <c r="AC96" s="16">
        <v>2702690.0960570872</v>
      </c>
      <c r="AD96" s="16">
        <v>644539.48412257805</v>
      </c>
      <c r="AE96" s="16">
        <v>-3771167.2780182362</v>
      </c>
      <c r="AF96" s="16">
        <v>34507.547199709341</v>
      </c>
    </row>
    <row r="97" spans="1:32" x14ac:dyDescent="0.2">
      <c r="A97" s="161"/>
      <c r="B97" s="172">
        <v>2</v>
      </c>
      <c r="C97" s="13" t="s">
        <v>97</v>
      </c>
      <c r="D97" s="164"/>
      <c r="E97" s="173" t="s">
        <v>35</v>
      </c>
      <c r="F97" s="17">
        <v>709349.97862462758</v>
      </c>
      <c r="G97" s="16">
        <v>0</v>
      </c>
      <c r="H97" s="16">
        <v>-342.10222098561167</v>
      </c>
      <c r="I97" s="16">
        <v>-1446.7669098585905</v>
      </c>
      <c r="J97" s="16">
        <v>-185.7204944818443</v>
      </c>
      <c r="K97" s="16">
        <v>-56.884011351206254</v>
      </c>
      <c r="L97" s="16">
        <v>-239.90016206659479</v>
      </c>
      <c r="M97" s="16">
        <v>-508.06272631315613</v>
      </c>
      <c r="N97" s="16">
        <v>-192.53800191967571</v>
      </c>
      <c r="O97" s="16">
        <v>-379.70271855017785</v>
      </c>
      <c r="P97" s="16">
        <v>-732.37491930869294</v>
      </c>
      <c r="Q97" s="16">
        <v>-358.56521730531881</v>
      </c>
      <c r="R97" s="16">
        <v>-139.38232866175116</v>
      </c>
      <c r="S97" s="16">
        <v>-1641.4923533444021</v>
      </c>
      <c r="T97" s="16">
        <v>-177.50255804714573</v>
      </c>
      <c r="U97" s="16">
        <v>4219259.0785574764</v>
      </c>
      <c r="V97" s="16">
        <v>-5642921.2995007634</v>
      </c>
      <c r="W97" s="16">
        <v>-326.25881011739335</v>
      </c>
      <c r="X97" s="16">
        <v>8418407.320068121</v>
      </c>
      <c r="Y97" s="16">
        <v>6830400.3335466385</v>
      </c>
      <c r="Z97" s="16">
        <v>-1364071.311181346</v>
      </c>
      <c r="AA97" s="16">
        <v>-96.53442005609071</v>
      </c>
      <c r="AB97" s="16">
        <v>-12973656.728126794</v>
      </c>
      <c r="AC97" s="16">
        <v>2702690.0960570872</v>
      </c>
      <c r="AD97" s="16">
        <v>644539.48412257805</v>
      </c>
      <c r="AE97" s="16">
        <v>-3771167.2780182362</v>
      </c>
      <c r="AF97" s="16">
        <v>34507.547199709341</v>
      </c>
    </row>
    <row r="98" spans="1:32" x14ac:dyDescent="0.2">
      <c r="A98" s="161"/>
      <c r="B98" s="172">
        <v>3</v>
      </c>
      <c r="C98" s="13" t="s">
        <v>98</v>
      </c>
      <c r="D98" s="164"/>
      <c r="E98" s="173" t="s">
        <v>35</v>
      </c>
      <c r="F98" s="17">
        <v>685394.42520001496</v>
      </c>
      <c r="G98" s="16">
        <v>0</v>
      </c>
      <c r="H98" s="16">
        <v>-571.47509579830842</v>
      </c>
      <c r="I98" s="16">
        <v>-2374.1923374685121</v>
      </c>
      <c r="J98" s="16">
        <v>-367.601125933476</v>
      </c>
      <c r="K98" s="16">
        <v>-115.42024369726239</v>
      </c>
      <c r="L98" s="16">
        <v>-355.60238471753973</v>
      </c>
      <c r="M98" s="16">
        <v>-825.0938261071642</v>
      </c>
      <c r="N98" s="16">
        <v>-329.86413249088889</v>
      </c>
      <c r="O98" s="16">
        <v>-601.37971853354247</v>
      </c>
      <c r="P98" s="16">
        <v>-1277.757371029013</v>
      </c>
      <c r="Q98" s="16">
        <v>-541.41669717220066</v>
      </c>
      <c r="R98" s="16">
        <v>-257.52966177370666</v>
      </c>
      <c r="S98" s="16">
        <v>-2686.976089985254</v>
      </c>
      <c r="T98" s="16">
        <v>-282.85500000338368</v>
      </c>
      <c r="U98" s="16">
        <v>4120531.3788065314</v>
      </c>
      <c r="V98" s="16">
        <v>-6007490.5573801994</v>
      </c>
      <c r="W98" s="16">
        <v>-565.23210919853545</v>
      </c>
      <c r="X98" s="16">
        <v>10485010.05002141</v>
      </c>
      <c r="Y98" s="16">
        <v>6322901.2515626997</v>
      </c>
      <c r="Z98" s="16">
        <v>-1108888.6708711311</v>
      </c>
      <c r="AA98" s="16">
        <v>-180.6588306507862</v>
      </c>
      <c r="AB98" s="16">
        <v>-13814527.302312478</v>
      </c>
      <c r="AC98" s="16">
        <v>2243173.0130951405</v>
      </c>
      <c r="AD98" s="16">
        <v>667802.96568922326</v>
      </c>
      <c r="AE98" s="16">
        <v>-4315944.2660180926</v>
      </c>
      <c r="AF98" s="16">
        <v>56084.314626455307</v>
      </c>
    </row>
    <row r="99" spans="1:32" x14ac:dyDescent="0.2">
      <c r="A99" s="161"/>
      <c r="B99" s="172">
        <v>4</v>
      </c>
      <c r="C99" s="13" t="s">
        <v>99</v>
      </c>
      <c r="D99" s="164"/>
      <c r="E99" s="173" t="s">
        <v>35</v>
      </c>
      <c r="F99" s="17">
        <v>-26071.241564803822</v>
      </c>
      <c r="G99" s="16">
        <v>0</v>
      </c>
      <c r="H99" s="16">
        <v>32.600199381704556</v>
      </c>
      <c r="I99" s="16">
        <v>147.25545851987283</v>
      </c>
      <c r="J99" s="16">
        <v>23.814669396355825</v>
      </c>
      <c r="K99" s="16">
        <v>2.2592991901000659</v>
      </c>
      <c r="L99" s="16">
        <v>9.9977551684896895</v>
      </c>
      <c r="M99" s="16">
        <v>47.789702656879399</v>
      </c>
      <c r="N99" s="16">
        <v>26.877681182754515</v>
      </c>
      <c r="O99" s="16">
        <v>37.373050157614244</v>
      </c>
      <c r="P99" s="16">
        <v>61.044215077436036</v>
      </c>
      <c r="Q99" s="16">
        <v>40.802073562735785</v>
      </c>
      <c r="R99" s="16">
        <v>33.163361958853827</v>
      </c>
      <c r="S99" s="16">
        <v>197.0386976944053</v>
      </c>
      <c r="T99" s="16">
        <v>9.7207006154554279</v>
      </c>
      <c r="U99" s="16">
        <v>887355.02347068489</v>
      </c>
      <c r="V99" s="16">
        <v>-482400.14392501116</v>
      </c>
      <c r="W99" s="16">
        <v>82.714171960884556</v>
      </c>
      <c r="X99" s="16">
        <v>2140188.0660617352</v>
      </c>
      <c r="Y99" s="16">
        <v>850748.96003194153</v>
      </c>
      <c r="Z99" s="16">
        <v>-257375.08509977069</v>
      </c>
      <c r="AA99" s="16">
        <v>4.3953920462012306</v>
      </c>
      <c r="AB99" s="16">
        <v>-3181870.7682818919</v>
      </c>
      <c r="AC99" s="16">
        <v>753240.06422835588</v>
      </c>
      <c r="AD99" s="16">
        <v>45518.309145919979</v>
      </c>
      <c r="AE99" s="16">
        <v>-2118072.8852285445</v>
      </c>
      <c r="AF99" s="16">
        <v>77043.944124810398</v>
      </c>
    </row>
    <row r="100" spans="1:32" s="161" customFormat="1" x14ac:dyDescent="0.2">
      <c r="A100" s="189"/>
      <c r="B100" s="172">
        <v>5</v>
      </c>
      <c r="C100" s="13" t="s">
        <v>100</v>
      </c>
      <c r="D100" s="164"/>
      <c r="E100" s="173" t="s">
        <v>35</v>
      </c>
      <c r="F100" s="17"/>
      <c r="G100" s="16" t="s">
        <v>240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1:32" s="161" customFormat="1" x14ac:dyDescent="0.2">
      <c r="A101" s="189"/>
      <c r="B101" s="172">
        <v>6</v>
      </c>
      <c r="C101" s="13" t="s">
        <v>174</v>
      </c>
      <c r="D101" s="164"/>
      <c r="E101" s="173" t="s">
        <v>35</v>
      </c>
      <c r="F101" s="17"/>
      <c r="G101" s="16" t="s">
        <v>240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1:32" x14ac:dyDescent="0.2">
      <c r="B102"/>
      <c r="C102" s="27"/>
      <c r="D102" s="27"/>
      <c r="E102"/>
      <c r="F102" s="185"/>
      <c r="G102" s="186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</row>
    <row r="103" spans="1:32" ht="15.75" x14ac:dyDescent="0.25">
      <c r="B103" s="4" t="s">
        <v>27</v>
      </c>
      <c r="C103" s="26"/>
      <c r="D103" s="26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166"/>
    </row>
    <row r="104" spans="1:32" ht="15.75" x14ac:dyDescent="0.25">
      <c r="B104" s="6" t="s">
        <v>14</v>
      </c>
      <c r="C104" s="9" t="s">
        <v>13</v>
      </c>
      <c r="D104" s="9"/>
      <c r="E104" s="7" t="s">
        <v>22</v>
      </c>
      <c r="F104" s="7" t="s">
        <v>37</v>
      </c>
      <c r="G104" s="12" t="s">
        <v>103</v>
      </c>
      <c r="H104" s="12" t="s">
        <v>104</v>
      </c>
      <c r="I104" s="12" t="s">
        <v>105</v>
      </c>
      <c r="J104" s="12" t="s">
        <v>106</v>
      </c>
      <c r="K104" s="12" t="s">
        <v>107</v>
      </c>
      <c r="L104" s="12" t="s">
        <v>108</v>
      </c>
      <c r="M104" s="12" t="s">
        <v>109</v>
      </c>
      <c r="N104" s="12" t="s">
        <v>110</v>
      </c>
      <c r="O104" s="12" t="s">
        <v>111</v>
      </c>
      <c r="P104" s="12" t="s">
        <v>112</v>
      </c>
      <c r="Q104" s="12" t="s">
        <v>113</v>
      </c>
      <c r="R104" s="12" t="s">
        <v>114</v>
      </c>
      <c r="S104" s="12" t="s">
        <v>115</v>
      </c>
      <c r="T104" s="12" t="s">
        <v>116</v>
      </c>
      <c r="U104" s="12" t="s">
        <v>117</v>
      </c>
      <c r="V104" s="12" t="s">
        <v>118</v>
      </c>
      <c r="W104" s="12" t="s">
        <v>119</v>
      </c>
      <c r="X104" s="12" t="s">
        <v>120</v>
      </c>
      <c r="Y104" s="12" t="s">
        <v>121</v>
      </c>
      <c r="Z104" s="12" t="s">
        <v>122</v>
      </c>
      <c r="AA104" s="12" t="s">
        <v>123</v>
      </c>
      <c r="AB104" s="12" t="s">
        <v>124</v>
      </c>
      <c r="AC104" s="12" t="s">
        <v>125</v>
      </c>
      <c r="AD104" s="12" t="s">
        <v>126</v>
      </c>
      <c r="AE104" s="12" t="s">
        <v>127</v>
      </c>
      <c r="AF104" s="171" t="s">
        <v>153</v>
      </c>
    </row>
    <row r="105" spans="1:32" x14ac:dyDescent="0.2">
      <c r="A105" s="161"/>
      <c r="B105" s="172">
        <v>1</v>
      </c>
      <c r="C105" s="13" t="s">
        <v>96</v>
      </c>
      <c r="D105" s="164"/>
      <c r="E105" s="173" t="s">
        <v>35</v>
      </c>
      <c r="F105" s="17">
        <v>63787062.477782346</v>
      </c>
      <c r="G105" s="16">
        <v>0</v>
      </c>
      <c r="H105" s="16">
        <v>-5346.3241324424744</v>
      </c>
      <c r="I105" s="16">
        <v>-522456.26705121994</v>
      </c>
      <c r="J105" s="16">
        <v>-553457.93246841431</v>
      </c>
      <c r="K105" s="16">
        <v>7516752.1842832565</v>
      </c>
      <c r="L105" s="16">
        <v>17605964.883035183</v>
      </c>
      <c r="M105" s="16">
        <v>18635741.010974884</v>
      </c>
      <c r="N105" s="16">
        <v>22001500.184429169</v>
      </c>
      <c r="O105" s="16">
        <v>8962080.8413791656</v>
      </c>
      <c r="P105" s="16">
        <v>8135073.3192329407</v>
      </c>
      <c r="Q105" s="16">
        <v>6516507.5821928978</v>
      </c>
      <c r="R105" s="16">
        <v>7671147.9133825302</v>
      </c>
      <c r="S105" s="16">
        <v>9597685.2932348251</v>
      </c>
      <c r="T105" s="16">
        <v>8680756.089058876</v>
      </c>
      <c r="U105" s="16">
        <v>1651754.6295452118</v>
      </c>
      <c r="V105" s="16">
        <v>-1122216.1221065521</v>
      </c>
      <c r="W105" s="16">
        <v>-226661.22230625153</v>
      </c>
      <c r="X105" s="16">
        <v>-413240.0122692585</v>
      </c>
      <c r="Y105" s="16">
        <v>-4156830.6860609055</v>
      </c>
      <c r="Z105" s="16">
        <v>-2583939.3666026592</v>
      </c>
      <c r="AA105" s="16">
        <v>-801360.63712024689</v>
      </c>
      <c r="AB105" s="16">
        <v>4654872.8482861519</v>
      </c>
      <c r="AC105" s="16">
        <v>-4662829.0843846798</v>
      </c>
      <c r="AD105" s="16">
        <v>-6010839.803699255</v>
      </c>
      <c r="AE105" s="16">
        <v>-2578639.4617652893</v>
      </c>
      <c r="AF105" s="16">
        <v>-4613901.0103752613</v>
      </c>
    </row>
    <row r="106" spans="1:32" x14ac:dyDescent="0.2">
      <c r="A106" s="161"/>
      <c r="B106" s="172">
        <v>2</v>
      </c>
      <c r="C106" s="13" t="s">
        <v>97</v>
      </c>
      <c r="D106" s="164"/>
      <c r="E106" s="173" t="s">
        <v>35</v>
      </c>
      <c r="F106" s="17">
        <v>63787062.477782346</v>
      </c>
      <c r="G106" s="16">
        <v>0</v>
      </c>
      <c r="H106" s="16">
        <v>-5346.3241324424744</v>
      </c>
      <c r="I106" s="16">
        <v>-522456.26705121994</v>
      </c>
      <c r="J106" s="16">
        <v>-553457.93246841431</v>
      </c>
      <c r="K106" s="16">
        <v>7516752.1842832565</v>
      </c>
      <c r="L106" s="16">
        <v>17605964.883035183</v>
      </c>
      <c r="M106" s="16">
        <v>18635741.010974884</v>
      </c>
      <c r="N106" s="16">
        <v>22001500.184429169</v>
      </c>
      <c r="O106" s="16">
        <v>8962080.8413791656</v>
      </c>
      <c r="P106" s="16">
        <v>8135073.3192329407</v>
      </c>
      <c r="Q106" s="16">
        <v>6516507.5821928978</v>
      </c>
      <c r="R106" s="16">
        <v>7671147.9133825302</v>
      </c>
      <c r="S106" s="16">
        <v>9597685.2932348251</v>
      </c>
      <c r="T106" s="16">
        <v>8680756.089058876</v>
      </c>
      <c r="U106" s="16">
        <v>1651754.6295452118</v>
      </c>
      <c r="V106" s="16">
        <v>-1122216.1221065521</v>
      </c>
      <c r="W106" s="16">
        <v>-226661.22230625153</v>
      </c>
      <c r="X106" s="16">
        <v>-413240.0122692585</v>
      </c>
      <c r="Y106" s="16">
        <v>-4156830.6860609055</v>
      </c>
      <c r="Z106" s="16">
        <v>-2583939.3666026592</v>
      </c>
      <c r="AA106" s="16">
        <v>-801360.63712024689</v>
      </c>
      <c r="AB106" s="16">
        <v>4654872.8482861519</v>
      </c>
      <c r="AC106" s="16">
        <v>-4662829.0843846798</v>
      </c>
      <c r="AD106" s="16">
        <v>-6010839.803699255</v>
      </c>
      <c r="AE106" s="16">
        <v>-2578639.4617652893</v>
      </c>
      <c r="AF106" s="16">
        <v>-4613901.0103752613</v>
      </c>
    </row>
    <row r="107" spans="1:32" x14ac:dyDescent="0.2">
      <c r="A107" s="161"/>
      <c r="B107" s="172">
        <v>3</v>
      </c>
      <c r="C107" s="13" t="s">
        <v>98</v>
      </c>
      <c r="D107" s="164"/>
      <c r="E107" s="173" t="s">
        <v>35</v>
      </c>
      <c r="F107" s="17">
        <v>71165869.688915029</v>
      </c>
      <c r="G107" s="16">
        <v>0</v>
      </c>
      <c r="H107" s="16">
        <v>-8667.0178837776184</v>
      </c>
      <c r="I107" s="16">
        <v>-529101.05870199203</v>
      </c>
      <c r="J107" s="16">
        <v>-554708.62406301498</v>
      </c>
      <c r="K107" s="16">
        <v>7834242.1030635834</v>
      </c>
      <c r="L107" s="16">
        <v>18480205.269011974</v>
      </c>
      <c r="M107" s="16">
        <v>19569135.571758747</v>
      </c>
      <c r="N107" s="16">
        <v>22973504.566093922</v>
      </c>
      <c r="O107" s="16">
        <v>9444492.3885736465</v>
      </c>
      <c r="P107" s="16">
        <v>8512586.4572424889</v>
      </c>
      <c r="Q107" s="16">
        <v>6811885.7428426743</v>
      </c>
      <c r="R107" s="16">
        <v>7866118.0197386742</v>
      </c>
      <c r="S107" s="16">
        <v>10199557.892288685</v>
      </c>
      <c r="T107" s="16">
        <v>9116107.4857568741</v>
      </c>
      <c r="U107" s="16">
        <v>2764316.4195518494</v>
      </c>
      <c r="V107" s="16">
        <v>-754851.74033427238</v>
      </c>
      <c r="W107" s="16">
        <v>419333.77278494835</v>
      </c>
      <c r="X107" s="16">
        <v>512746.66767501831</v>
      </c>
      <c r="Y107" s="16">
        <v>-2901220.3276114464</v>
      </c>
      <c r="Z107" s="16">
        <v>-1503931.0923860073</v>
      </c>
      <c r="AA107" s="16">
        <v>74115.533082962036</v>
      </c>
      <c r="AB107" s="16">
        <v>4896033.7244131565</v>
      </c>
      <c r="AC107" s="16">
        <v>-2083510.1097946167</v>
      </c>
      <c r="AD107" s="16">
        <v>-4299146.281056881</v>
      </c>
      <c r="AE107" s="16">
        <v>-1070035.8073446751</v>
      </c>
      <c r="AF107" s="16">
        <v>-3355203.2327229977</v>
      </c>
    </row>
    <row r="108" spans="1:32" x14ac:dyDescent="0.2">
      <c r="A108" s="161"/>
      <c r="B108" s="172">
        <v>4</v>
      </c>
      <c r="C108" s="13" t="s">
        <v>99</v>
      </c>
      <c r="D108" s="164"/>
      <c r="E108" s="173" t="s">
        <v>35</v>
      </c>
      <c r="F108" s="17">
        <v>11657850.114578256</v>
      </c>
      <c r="G108" s="16">
        <v>0</v>
      </c>
      <c r="H108" s="16">
        <v>529.71600580215454</v>
      </c>
      <c r="I108" s="16">
        <v>-124099.96793889999</v>
      </c>
      <c r="J108" s="16">
        <v>1501499.8990535736</v>
      </c>
      <c r="K108" s="16">
        <v>2254996.6970000267</v>
      </c>
      <c r="L108" s="16">
        <v>2221228.0707263947</v>
      </c>
      <c r="M108" s="16">
        <v>2459940.2498049736</v>
      </c>
      <c r="N108" s="16">
        <v>2748077.4449977875</v>
      </c>
      <c r="O108" s="16">
        <v>1867888.6920671463</v>
      </c>
      <c r="P108" s="16">
        <v>1932375.8866591454</v>
      </c>
      <c r="Q108" s="16">
        <v>1777465.8162255287</v>
      </c>
      <c r="R108" s="16">
        <v>1974158.3342375755</v>
      </c>
      <c r="S108" s="16">
        <v>1992593.6862177849</v>
      </c>
      <c r="T108" s="16">
        <v>1542502.4400653839</v>
      </c>
      <c r="U108" s="16">
        <v>165499.58880615234</v>
      </c>
      <c r="V108" s="16">
        <v>-341959.28892397881</v>
      </c>
      <c r="W108" s="16">
        <v>304234.18735551834</v>
      </c>
      <c r="X108" s="16">
        <v>-302692.15448617935</v>
      </c>
      <c r="Y108" s="16">
        <v>-934896.22088384628</v>
      </c>
      <c r="Z108" s="16">
        <v>-598462.55059456825</v>
      </c>
      <c r="AA108" s="16">
        <v>-155432.70108819008</v>
      </c>
      <c r="AB108" s="16">
        <v>379012.68560934067</v>
      </c>
      <c r="AC108" s="16">
        <v>-1162198.7542881966</v>
      </c>
      <c r="AD108" s="16">
        <v>-2440638.7517716885</v>
      </c>
      <c r="AE108" s="16">
        <v>-351966.13212275505</v>
      </c>
      <c r="AF108" s="16">
        <v>-1546734.9739758968</v>
      </c>
    </row>
    <row r="109" spans="1:32" s="161" customFormat="1" x14ac:dyDescent="0.2">
      <c r="A109" s="189"/>
      <c r="B109" s="172">
        <v>5</v>
      </c>
      <c r="C109" s="13" t="s">
        <v>100</v>
      </c>
      <c r="D109" s="164"/>
      <c r="E109" s="173" t="s">
        <v>35</v>
      </c>
      <c r="F109" s="17"/>
      <c r="G109" s="16" t="s">
        <v>240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1:32" s="161" customFormat="1" x14ac:dyDescent="0.2">
      <c r="A110" s="189"/>
      <c r="B110" s="172">
        <v>6</v>
      </c>
      <c r="C110" s="13" t="s">
        <v>174</v>
      </c>
      <c r="D110" s="164"/>
      <c r="E110" s="173" t="s">
        <v>35</v>
      </c>
      <c r="F110" s="17"/>
      <c r="G110" s="16" t="s">
        <v>240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1:32" x14ac:dyDescent="0.2">
      <c r="B111"/>
      <c r="C111" s="27"/>
      <c r="D111" s="27"/>
      <c r="E111"/>
      <c r="F111" s="126"/>
      <c r="AF111" s="161"/>
    </row>
    <row r="112" spans="1:32" ht="15.75" x14ac:dyDescent="0.25">
      <c r="B112" s="4" t="s">
        <v>29</v>
      </c>
      <c r="C112" s="26"/>
      <c r="D112" s="26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166"/>
    </row>
    <row r="113" spans="1:32" ht="15.75" x14ac:dyDescent="0.25">
      <c r="B113" s="6" t="s">
        <v>14</v>
      </c>
      <c r="C113" s="9" t="s">
        <v>13</v>
      </c>
      <c r="D113" s="9"/>
      <c r="E113" s="7" t="s">
        <v>22</v>
      </c>
      <c r="F113" s="7" t="s">
        <v>37</v>
      </c>
      <c r="G113" s="12" t="s">
        <v>103</v>
      </c>
      <c r="H113" s="12" t="s">
        <v>104</v>
      </c>
      <c r="I113" s="12" t="s">
        <v>105</v>
      </c>
      <c r="J113" s="12" t="s">
        <v>106</v>
      </c>
      <c r="K113" s="12" t="s">
        <v>107</v>
      </c>
      <c r="L113" s="12" t="s">
        <v>108</v>
      </c>
      <c r="M113" s="12" t="s">
        <v>109</v>
      </c>
      <c r="N113" s="12" t="s">
        <v>110</v>
      </c>
      <c r="O113" s="12" t="s">
        <v>111</v>
      </c>
      <c r="P113" s="12" t="s">
        <v>112</v>
      </c>
      <c r="Q113" s="12" t="s">
        <v>113</v>
      </c>
      <c r="R113" s="12" t="s">
        <v>114</v>
      </c>
      <c r="S113" s="12" t="s">
        <v>115</v>
      </c>
      <c r="T113" s="12" t="s">
        <v>116</v>
      </c>
      <c r="U113" s="12" t="s">
        <v>117</v>
      </c>
      <c r="V113" s="12" t="s">
        <v>118</v>
      </c>
      <c r="W113" s="12" t="s">
        <v>119</v>
      </c>
      <c r="X113" s="12" t="s">
        <v>120</v>
      </c>
      <c r="Y113" s="12" t="s">
        <v>121</v>
      </c>
      <c r="Z113" s="12" t="s">
        <v>122</v>
      </c>
      <c r="AA113" s="12" t="s">
        <v>123</v>
      </c>
      <c r="AB113" s="12" t="s">
        <v>124</v>
      </c>
      <c r="AC113" s="12" t="s">
        <v>125</v>
      </c>
      <c r="AD113" s="12" t="s">
        <v>126</v>
      </c>
      <c r="AE113" s="12" t="s">
        <v>127</v>
      </c>
      <c r="AF113" s="171" t="s">
        <v>153</v>
      </c>
    </row>
    <row r="114" spans="1:32" x14ac:dyDescent="0.2">
      <c r="A114" s="161"/>
      <c r="B114" s="172">
        <v>1</v>
      </c>
      <c r="C114" s="13" t="s">
        <v>96</v>
      </c>
      <c r="D114" s="164"/>
      <c r="E114" s="173" t="s">
        <v>35</v>
      </c>
      <c r="F114" s="17">
        <v>-621445.69245729526</v>
      </c>
      <c r="G114" s="16">
        <v>0</v>
      </c>
      <c r="H114" s="16">
        <v>-752.87126299343072</v>
      </c>
      <c r="I114" s="16">
        <v>-93940.863680937793</v>
      </c>
      <c r="J114" s="16">
        <v>-2894.5753186475486</v>
      </c>
      <c r="K114" s="16">
        <v>-7389.0244446303695</v>
      </c>
      <c r="L114" s="16">
        <v>-940.94677224057318</v>
      </c>
      <c r="M114" s="16">
        <v>-3033.0774300297489</v>
      </c>
      <c r="N114" s="16">
        <v>-1060.5612383657131</v>
      </c>
      <c r="O114" s="16">
        <v>-1118.5019194468373</v>
      </c>
      <c r="P114" s="16">
        <v>-1190.9625332523283</v>
      </c>
      <c r="Q114" s="16">
        <v>-1280.289193402743</v>
      </c>
      <c r="R114" s="16">
        <v>23932.877723771671</v>
      </c>
      <c r="S114" s="16">
        <v>-2864.8271443070844</v>
      </c>
      <c r="T114" s="16">
        <v>133333.91288988828</v>
      </c>
      <c r="U114" s="16">
        <v>-79909.780456742737</v>
      </c>
      <c r="V114" s="16">
        <v>10926.627900135703</v>
      </c>
      <c r="W114" s="16">
        <v>-243106.16355205514</v>
      </c>
      <c r="X114" s="16">
        <v>340163.52567297965</v>
      </c>
      <c r="Y114" s="16">
        <v>-2163.7096944103569</v>
      </c>
      <c r="Z114" s="16">
        <v>-1041.8169733956456</v>
      </c>
      <c r="AA114" s="16">
        <v>-2368.3172913629583</v>
      </c>
      <c r="AB114" s="16">
        <v>-352998.5386389792</v>
      </c>
      <c r="AC114" s="16">
        <v>-6253.9440075848252</v>
      </c>
      <c r="AD114" s="16">
        <v>-20954.405773121864</v>
      </c>
      <c r="AE114" s="16">
        <v>-1931782.5610569939</v>
      </c>
      <c r="AF114" s="16">
        <v>-130013.62334545515</v>
      </c>
    </row>
    <row r="115" spans="1:32" x14ac:dyDescent="0.2">
      <c r="A115" s="161"/>
      <c r="B115" s="172">
        <v>2</v>
      </c>
      <c r="C115" s="13" t="s">
        <v>97</v>
      </c>
      <c r="D115" s="164"/>
      <c r="E115" s="173" t="s">
        <v>35</v>
      </c>
      <c r="F115" s="17">
        <v>-621445.69245729526</v>
      </c>
      <c r="G115" s="16">
        <v>0</v>
      </c>
      <c r="H115" s="16">
        <v>-752.87126299343072</v>
      </c>
      <c r="I115" s="16">
        <v>-93940.863680937793</v>
      </c>
      <c r="J115" s="16">
        <v>-2894.5753186475486</v>
      </c>
      <c r="K115" s="16">
        <v>-7389.0244446303695</v>
      </c>
      <c r="L115" s="16">
        <v>-940.94677224057318</v>
      </c>
      <c r="M115" s="16">
        <v>-3033.0774300297489</v>
      </c>
      <c r="N115" s="16">
        <v>-1060.5612383657131</v>
      </c>
      <c r="O115" s="16">
        <v>-1118.5019194468373</v>
      </c>
      <c r="P115" s="16">
        <v>-1190.9625332523283</v>
      </c>
      <c r="Q115" s="16">
        <v>-1280.289193402743</v>
      </c>
      <c r="R115" s="16">
        <v>23932.877723771671</v>
      </c>
      <c r="S115" s="16">
        <v>-2864.8271443070844</v>
      </c>
      <c r="T115" s="16">
        <v>133333.91288988828</v>
      </c>
      <c r="U115" s="16">
        <v>-79909.780456742737</v>
      </c>
      <c r="V115" s="16">
        <v>10926.627900135703</v>
      </c>
      <c r="W115" s="16">
        <v>-243106.16355205514</v>
      </c>
      <c r="X115" s="16">
        <v>340163.52567297965</v>
      </c>
      <c r="Y115" s="16">
        <v>-2163.7096944103569</v>
      </c>
      <c r="Z115" s="16">
        <v>-1041.8169733956456</v>
      </c>
      <c r="AA115" s="16">
        <v>-2368.3172913629583</v>
      </c>
      <c r="AB115" s="16">
        <v>-352998.5386389792</v>
      </c>
      <c r="AC115" s="16">
        <v>-6253.9440075848252</v>
      </c>
      <c r="AD115" s="16">
        <v>-20954.405773121864</v>
      </c>
      <c r="AE115" s="16">
        <v>-1931782.5610569939</v>
      </c>
      <c r="AF115" s="16">
        <v>-130013.62334545515</v>
      </c>
    </row>
    <row r="116" spans="1:32" x14ac:dyDescent="0.2">
      <c r="A116" s="161"/>
      <c r="B116" s="172">
        <v>3</v>
      </c>
      <c r="C116" s="13" t="s">
        <v>98</v>
      </c>
      <c r="D116" s="164"/>
      <c r="E116" s="173" t="s">
        <v>35</v>
      </c>
      <c r="F116" s="17">
        <v>-662504.27421579626</v>
      </c>
      <c r="G116" s="16">
        <v>0</v>
      </c>
      <c r="H116" s="16">
        <v>-1220.5192530129571</v>
      </c>
      <c r="I116" s="16">
        <v>-94794.973301292863</v>
      </c>
      <c r="J116" s="16">
        <v>-3432.5018058577552</v>
      </c>
      <c r="K116" s="16">
        <v>-7194.0733540093061</v>
      </c>
      <c r="L116" s="16">
        <v>-1525.5833760943569</v>
      </c>
      <c r="M116" s="16">
        <v>-3666.12752116099</v>
      </c>
      <c r="N116" s="16">
        <v>-1719.6967347827263</v>
      </c>
      <c r="O116" s="16">
        <v>-1813.8875043906219</v>
      </c>
      <c r="P116" s="16">
        <v>-1931.3502200051557</v>
      </c>
      <c r="Q116" s="16">
        <v>-2075.3429659719113</v>
      </c>
      <c r="R116" s="16">
        <v>26585.487736830226</v>
      </c>
      <c r="S116" s="16">
        <v>-3660.2362547097728</v>
      </c>
      <c r="T116" s="16">
        <v>152114.52456425421</v>
      </c>
      <c r="U116" s="16">
        <v>-80875.524910242762</v>
      </c>
      <c r="V116" s="16">
        <v>15277.910671010613</v>
      </c>
      <c r="W116" s="16">
        <v>-283350.07039384264</v>
      </c>
      <c r="X116" s="16">
        <v>241387.44855616987</v>
      </c>
      <c r="Y116" s="16">
        <v>-3505.8669139131962</v>
      </c>
      <c r="Z116" s="16">
        <v>-1863.4184215590358</v>
      </c>
      <c r="AA116" s="16">
        <v>-3838.1984471862315</v>
      </c>
      <c r="AB116" s="16">
        <v>-356537.93408437073</v>
      </c>
      <c r="AC116" s="16">
        <v>-8057.0937063135207</v>
      </c>
      <c r="AD116" s="16">
        <v>-17652.101758177392</v>
      </c>
      <c r="AE116" s="16">
        <v>-1890563.1218433678</v>
      </c>
      <c r="AF116" s="16">
        <v>-154326.23230207525</v>
      </c>
    </row>
    <row r="117" spans="1:32" x14ac:dyDescent="0.2">
      <c r="A117" s="161"/>
      <c r="B117" s="172">
        <v>4</v>
      </c>
      <c r="C117" s="13" t="s">
        <v>99</v>
      </c>
      <c r="D117" s="164"/>
      <c r="E117" s="173" t="s">
        <v>35</v>
      </c>
      <c r="F117" s="17">
        <v>-248115.69626329883</v>
      </c>
      <c r="G117" s="16">
        <v>0</v>
      </c>
      <c r="H117" s="16">
        <v>73.980126255890355</v>
      </c>
      <c r="I117" s="16">
        <v>-16235.443121670978</v>
      </c>
      <c r="J117" s="16">
        <v>2982.1677833031863</v>
      </c>
      <c r="K117" s="16">
        <v>2126.369060453726</v>
      </c>
      <c r="L117" s="16">
        <v>92.633626640972352</v>
      </c>
      <c r="M117" s="16">
        <v>-399.37074116291478</v>
      </c>
      <c r="N117" s="16">
        <v>104.45290407305708</v>
      </c>
      <c r="O117" s="16">
        <v>110.25993468377931</v>
      </c>
      <c r="P117" s="16">
        <v>117.59135737861993</v>
      </c>
      <c r="Q117" s="16">
        <v>126.0524012374226</v>
      </c>
      <c r="R117" s="16">
        <v>4715.4684113854892</v>
      </c>
      <c r="S117" s="16">
        <v>-41.470402959734201</v>
      </c>
      <c r="T117" s="16">
        <v>48774.035895024077</v>
      </c>
      <c r="U117" s="16">
        <v>-14649.681211901363</v>
      </c>
      <c r="V117" s="16">
        <v>-12810.447813189588</v>
      </c>
      <c r="W117" s="16">
        <v>-41813.475585383363</v>
      </c>
      <c r="X117" s="16">
        <v>71515.008602261543</v>
      </c>
      <c r="Y117" s="16">
        <v>213.11953970412492</v>
      </c>
      <c r="Z117" s="16">
        <v>-1155.2756051793694</v>
      </c>
      <c r="AA117" s="16">
        <v>233.90809343678916</v>
      </c>
      <c r="AB117" s="16">
        <v>-125700.44256161153</v>
      </c>
      <c r="AC117" s="16">
        <v>32.64028874784708</v>
      </c>
      <c r="AD117" s="16">
        <v>-4070.1512826345861</v>
      </c>
      <c r="AE117" s="16">
        <v>-866641.61959996074</v>
      </c>
      <c r="AF117" s="16">
        <v>-77823.740021493286</v>
      </c>
    </row>
    <row r="118" spans="1:32" s="161" customFormat="1" x14ac:dyDescent="0.2">
      <c r="A118" s="189"/>
      <c r="B118" s="172">
        <v>5</v>
      </c>
      <c r="C118" s="13" t="s">
        <v>100</v>
      </c>
      <c r="D118" s="164"/>
      <c r="E118" s="173" t="s">
        <v>35</v>
      </c>
      <c r="F118" s="17"/>
      <c r="G118" s="16" t="s">
        <v>240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1:32" s="161" customFormat="1" x14ac:dyDescent="0.2">
      <c r="A119" s="189"/>
      <c r="B119" s="172">
        <v>6</v>
      </c>
      <c r="C119" s="13" t="s">
        <v>174</v>
      </c>
      <c r="D119" s="164"/>
      <c r="E119" s="173" t="s">
        <v>35</v>
      </c>
      <c r="F119" s="17"/>
      <c r="G119" s="16" t="s">
        <v>240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1:32" x14ac:dyDescent="0.2">
      <c r="B120"/>
      <c r="C120" s="27"/>
      <c r="D120" s="27"/>
      <c r="E120"/>
      <c r="F120" s="126"/>
      <c r="AF120" s="161"/>
    </row>
    <row r="121" spans="1:32" ht="15.75" x14ac:dyDescent="0.25">
      <c r="B121" s="4" t="s">
        <v>78</v>
      </c>
      <c r="C121" s="26"/>
      <c r="D121" s="26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166"/>
    </row>
    <row r="122" spans="1:32" ht="15.75" x14ac:dyDescent="0.25">
      <c r="B122" s="6" t="s">
        <v>14</v>
      </c>
      <c r="C122" s="9" t="s">
        <v>13</v>
      </c>
      <c r="D122" s="9"/>
      <c r="E122" s="7" t="s">
        <v>22</v>
      </c>
      <c r="F122" s="7" t="s">
        <v>37</v>
      </c>
      <c r="G122" s="12" t="s">
        <v>103</v>
      </c>
      <c r="H122" s="12" t="s">
        <v>104</v>
      </c>
      <c r="I122" s="12" t="s">
        <v>105</v>
      </c>
      <c r="J122" s="12" t="s">
        <v>106</v>
      </c>
      <c r="K122" s="12" t="s">
        <v>107</v>
      </c>
      <c r="L122" s="12" t="s">
        <v>108</v>
      </c>
      <c r="M122" s="12" t="s">
        <v>109</v>
      </c>
      <c r="N122" s="12" t="s">
        <v>110</v>
      </c>
      <c r="O122" s="12" t="s">
        <v>111</v>
      </c>
      <c r="P122" s="12" t="s">
        <v>112</v>
      </c>
      <c r="Q122" s="12" t="s">
        <v>113</v>
      </c>
      <c r="R122" s="12" t="s">
        <v>114</v>
      </c>
      <c r="S122" s="12" t="s">
        <v>115</v>
      </c>
      <c r="T122" s="12" t="s">
        <v>116</v>
      </c>
      <c r="U122" s="12" t="s">
        <v>117</v>
      </c>
      <c r="V122" s="12" t="s">
        <v>118</v>
      </c>
      <c r="W122" s="12" t="s">
        <v>119</v>
      </c>
      <c r="X122" s="12" t="s">
        <v>120</v>
      </c>
      <c r="Y122" s="12" t="s">
        <v>121</v>
      </c>
      <c r="Z122" s="12" t="s">
        <v>122</v>
      </c>
      <c r="AA122" s="12" t="s">
        <v>123</v>
      </c>
      <c r="AB122" s="12" t="s">
        <v>124</v>
      </c>
      <c r="AC122" s="12" t="s">
        <v>125</v>
      </c>
      <c r="AD122" s="12" t="s">
        <v>126</v>
      </c>
      <c r="AE122" s="12" t="s">
        <v>127</v>
      </c>
      <c r="AF122" s="171" t="s">
        <v>153</v>
      </c>
    </row>
    <row r="123" spans="1:32" x14ac:dyDescent="0.2">
      <c r="A123" s="161"/>
      <c r="B123" s="172">
        <v>1</v>
      </c>
      <c r="C123" s="13" t="s">
        <v>96</v>
      </c>
      <c r="D123" s="164"/>
      <c r="E123" s="173" t="s">
        <v>35</v>
      </c>
      <c r="F123" s="17">
        <v>39875919.6820575</v>
      </c>
      <c r="G123" s="16">
        <v>0</v>
      </c>
      <c r="H123" s="16">
        <v>-20455.279480934143</v>
      </c>
      <c r="I123" s="16">
        <v>12912212.089864254</v>
      </c>
      <c r="J123" s="16">
        <v>-83088.189386844635</v>
      </c>
      <c r="K123" s="16">
        <v>620166.08594167233</v>
      </c>
      <c r="L123" s="16">
        <v>-858795.4088344574</v>
      </c>
      <c r="M123" s="16">
        <v>-3091350.4515243769</v>
      </c>
      <c r="N123" s="16">
        <v>-33015744.293594122</v>
      </c>
      <c r="O123" s="16">
        <v>-5713737.7887983322</v>
      </c>
      <c r="P123" s="16">
        <v>8289523.6015431881</v>
      </c>
      <c r="Q123" s="16">
        <v>-7595871.4034910202</v>
      </c>
      <c r="R123" s="16">
        <v>2173484.3388112783</v>
      </c>
      <c r="S123" s="16">
        <v>66384795.050439835</v>
      </c>
      <c r="T123" s="16">
        <v>7048968.1113462448</v>
      </c>
      <c r="U123" s="16">
        <v>49093148.608950853</v>
      </c>
      <c r="V123" s="16">
        <v>29994260.164682388</v>
      </c>
      <c r="W123" s="16">
        <v>2503426.4608459473</v>
      </c>
      <c r="X123" s="16">
        <v>-32388980.715600967</v>
      </c>
      <c r="Y123" s="16">
        <v>-13473119.493597507</v>
      </c>
      <c r="Z123" s="16">
        <v>-10560928.576028347</v>
      </c>
      <c r="AA123" s="16">
        <v>750095.16141629219</v>
      </c>
      <c r="AB123" s="16">
        <v>-7830545.3380122185</v>
      </c>
      <c r="AC123" s="16">
        <v>28998585.957240105</v>
      </c>
      <c r="AD123" s="16">
        <v>-4915113.3158721924</v>
      </c>
      <c r="AE123" s="16">
        <v>183085.25975489616</v>
      </c>
      <c r="AF123" s="16">
        <v>1552731.9871833324</v>
      </c>
    </row>
    <row r="124" spans="1:32" x14ac:dyDescent="0.2">
      <c r="A124" s="161"/>
      <c r="B124" s="172">
        <v>2</v>
      </c>
      <c r="C124" s="13" t="s">
        <v>97</v>
      </c>
      <c r="D124" s="164"/>
      <c r="E124" s="173" t="s">
        <v>35</v>
      </c>
      <c r="F124" s="17">
        <v>39875919.6820575</v>
      </c>
      <c r="G124" s="16">
        <v>0</v>
      </c>
      <c r="H124" s="16">
        <v>-20455.279480934143</v>
      </c>
      <c r="I124" s="16">
        <v>12912212.089864254</v>
      </c>
      <c r="J124" s="16">
        <v>-83088.189386844635</v>
      </c>
      <c r="K124" s="16">
        <v>620166.08594167233</v>
      </c>
      <c r="L124" s="16">
        <v>-858795.4088344574</v>
      </c>
      <c r="M124" s="16">
        <v>-3091350.4515243769</v>
      </c>
      <c r="N124" s="16">
        <v>-33015744.293594122</v>
      </c>
      <c r="O124" s="16">
        <v>-5713737.7887983322</v>
      </c>
      <c r="P124" s="16">
        <v>8289523.6015431881</v>
      </c>
      <c r="Q124" s="16">
        <v>-7595871.4034910202</v>
      </c>
      <c r="R124" s="16">
        <v>2173484.3388112783</v>
      </c>
      <c r="S124" s="16">
        <v>66384795.050439835</v>
      </c>
      <c r="T124" s="16">
        <v>7048968.1113462448</v>
      </c>
      <c r="U124" s="16">
        <v>49093148.608950853</v>
      </c>
      <c r="V124" s="16">
        <v>29994260.164682388</v>
      </c>
      <c r="W124" s="16">
        <v>2503426.4608459473</v>
      </c>
      <c r="X124" s="16">
        <v>-32388980.715600967</v>
      </c>
      <c r="Y124" s="16">
        <v>-13473119.493597507</v>
      </c>
      <c r="Z124" s="16">
        <v>-10560928.576028347</v>
      </c>
      <c r="AA124" s="16">
        <v>750095.16141629219</v>
      </c>
      <c r="AB124" s="16">
        <v>-7830545.3380122185</v>
      </c>
      <c r="AC124" s="16">
        <v>28998585.957240105</v>
      </c>
      <c r="AD124" s="16">
        <v>-4915113.3158721924</v>
      </c>
      <c r="AE124" s="16">
        <v>183085.25975489616</v>
      </c>
      <c r="AF124" s="16">
        <v>1552731.9871833324</v>
      </c>
    </row>
    <row r="125" spans="1:32" x14ac:dyDescent="0.2">
      <c r="A125" s="161"/>
      <c r="B125" s="172">
        <v>3</v>
      </c>
      <c r="C125" s="13" t="s">
        <v>98</v>
      </c>
      <c r="D125" s="164"/>
      <c r="E125" s="173" t="s">
        <v>35</v>
      </c>
      <c r="F125" s="17">
        <v>41003794.994103193</v>
      </c>
      <c r="G125" s="16">
        <v>0</v>
      </c>
      <c r="H125" s="16">
        <v>-33418.16550719738</v>
      </c>
      <c r="I125" s="16">
        <v>12970156.800845623</v>
      </c>
      <c r="J125" s="16">
        <v>-88974.565494894981</v>
      </c>
      <c r="K125" s="16">
        <v>776412.81485116482</v>
      </c>
      <c r="L125" s="16">
        <v>-451983.42343854904</v>
      </c>
      <c r="M125" s="16">
        <v>-3092931.1688451767</v>
      </c>
      <c r="N125" s="16">
        <v>-33341238.265884638</v>
      </c>
      <c r="O125" s="16">
        <v>-5522325.8472042084</v>
      </c>
      <c r="P125" s="16">
        <v>8326095.8735744953</v>
      </c>
      <c r="Q125" s="16">
        <v>-7473792.5319507122</v>
      </c>
      <c r="R125" s="16">
        <v>2273983.2378249168</v>
      </c>
      <c r="S125" s="16">
        <v>69067395.716096878</v>
      </c>
      <c r="T125" s="16">
        <v>8364498.6816818714</v>
      </c>
      <c r="U125" s="16">
        <v>48014998.386664152</v>
      </c>
      <c r="V125" s="16">
        <v>28579847.884344101</v>
      </c>
      <c r="W125" s="16">
        <v>5367254.3771004677</v>
      </c>
      <c r="X125" s="16">
        <v>-35313436.63911438</v>
      </c>
      <c r="Y125" s="16">
        <v>-16593482.578499317</v>
      </c>
      <c r="Z125" s="16">
        <v>-8388606.9756994247</v>
      </c>
      <c r="AA125" s="16">
        <v>874220.38926970959</v>
      </c>
      <c r="AB125" s="16">
        <v>-3783253.8233718872</v>
      </c>
      <c r="AC125" s="16">
        <v>20681920.155133724</v>
      </c>
      <c r="AD125" s="16">
        <v>-1664280.5238893032</v>
      </c>
      <c r="AE125" s="16">
        <v>855372.701359272</v>
      </c>
      <c r="AF125" s="16">
        <v>2375441.8378472328</v>
      </c>
    </row>
    <row r="126" spans="1:32" x14ac:dyDescent="0.2">
      <c r="A126" s="161"/>
      <c r="B126" s="172">
        <v>4</v>
      </c>
      <c r="C126" s="13" t="s">
        <v>99</v>
      </c>
      <c r="D126" s="164"/>
      <c r="E126" s="173" t="s">
        <v>35</v>
      </c>
      <c r="F126" s="17">
        <v>14593130.541473903</v>
      </c>
      <c r="G126" s="16">
        <v>0</v>
      </c>
      <c r="H126" s="16">
        <v>1985.4031693935394</v>
      </c>
      <c r="I126" s="16">
        <v>3170240.0452656746</v>
      </c>
      <c r="J126" s="16">
        <v>240794.93786168098</v>
      </c>
      <c r="K126" s="16">
        <v>259788.57552838326</v>
      </c>
      <c r="L126" s="16">
        <v>-4061170.6254127026</v>
      </c>
      <c r="M126" s="16">
        <v>-55858.999673962593</v>
      </c>
      <c r="N126" s="16">
        <v>206909.4055917263</v>
      </c>
      <c r="O126" s="16">
        <v>-1473926.4231872559</v>
      </c>
      <c r="P126" s="16">
        <v>913681.98828887939</v>
      </c>
      <c r="Q126" s="16">
        <v>-2189405.9913711548</v>
      </c>
      <c r="R126" s="16">
        <v>489972.6563321352</v>
      </c>
      <c r="S126" s="16">
        <v>21391001.90246582</v>
      </c>
      <c r="T126" s="16">
        <v>-18590.963535308838</v>
      </c>
      <c r="U126" s="16">
        <v>10201827.861655712</v>
      </c>
      <c r="V126" s="16">
        <v>8611928.6795501709</v>
      </c>
      <c r="W126" s="16">
        <v>-4385727.387430191</v>
      </c>
      <c r="X126" s="16">
        <v>-2363268.0821800232</v>
      </c>
      <c r="Y126" s="16">
        <v>-3735837.6341786385</v>
      </c>
      <c r="Z126" s="16">
        <v>-2028527.0969933271</v>
      </c>
      <c r="AA126" s="16">
        <v>138388.96185588837</v>
      </c>
      <c r="AB126" s="16">
        <v>2597671.9517798424</v>
      </c>
      <c r="AC126" s="16">
        <v>3573410.5527949333</v>
      </c>
      <c r="AD126" s="16">
        <v>1219900.4364216328</v>
      </c>
      <c r="AE126" s="16">
        <v>-873264.95439529419</v>
      </c>
      <c r="AF126" s="16">
        <v>1185552.1200200319</v>
      </c>
    </row>
    <row r="127" spans="1:32" s="161" customFormat="1" x14ac:dyDescent="0.2">
      <c r="A127" s="189"/>
      <c r="B127" s="172">
        <v>5</v>
      </c>
      <c r="C127" s="13" t="s">
        <v>100</v>
      </c>
      <c r="D127" s="164"/>
      <c r="E127" s="173" t="s">
        <v>35</v>
      </c>
      <c r="F127" s="17"/>
      <c r="G127" s="16" t="s">
        <v>240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1:32" s="161" customFormat="1" x14ac:dyDescent="0.2">
      <c r="A128" s="189"/>
      <c r="B128" s="172">
        <v>6</v>
      </c>
      <c r="C128" s="13" t="s">
        <v>174</v>
      </c>
      <c r="D128" s="164"/>
      <c r="E128" s="173" t="s">
        <v>35</v>
      </c>
      <c r="F128" s="17"/>
      <c r="G128" s="16" t="s">
        <v>240</v>
      </c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2:32" x14ac:dyDescent="0.2">
      <c r="B129"/>
      <c r="C129" s="27"/>
      <c r="D129" s="27"/>
      <c r="E129"/>
      <c r="F129" s="126"/>
      <c r="AF129" s="161"/>
    </row>
    <row r="130" spans="2:32" s="161" customFormat="1" ht="15.75" x14ac:dyDescent="0.25">
      <c r="B130" s="57" t="s">
        <v>191</v>
      </c>
      <c r="C130" s="57"/>
      <c r="D130" s="57"/>
      <c r="E130" s="66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</row>
    <row r="131" spans="2:32" s="161" customFormat="1" ht="15.75" x14ac:dyDescent="0.25">
      <c r="B131" s="58" t="s">
        <v>14</v>
      </c>
      <c r="C131" s="58" t="s">
        <v>13</v>
      </c>
      <c r="D131" s="58"/>
      <c r="E131" s="62" t="s">
        <v>7</v>
      </c>
      <c r="F131" s="62" t="s">
        <v>37</v>
      </c>
      <c r="G131" s="171" t="s">
        <v>103</v>
      </c>
      <c r="H131" s="171" t="s">
        <v>104</v>
      </c>
      <c r="I131" s="171" t="s">
        <v>105</v>
      </c>
      <c r="J131" s="171" t="s">
        <v>106</v>
      </c>
      <c r="K131" s="171" t="s">
        <v>107</v>
      </c>
      <c r="L131" s="171" t="s">
        <v>108</v>
      </c>
      <c r="M131" s="171" t="s">
        <v>109</v>
      </c>
      <c r="N131" s="171" t="s">
        <v>110</v>
      </c>
      <c r="O131" s="171" t="s">
        <v>111</v>
      </c>
      <c r="P131" s="171" t="s">
        <v>112</v>
      </c>
      <c r="Q131" s="171" t="s">
        <v>113</v>
      </c>
      <c r="R131" s="171" t="s">
        <v>114</v>
      </c>
      <c r="S131" s="171" t="s">
        <v>115</v>
      </c>
      <c r="T131" s="171" t="s">
        <v>116</v>
      </c>
      <c r="U131" s="171" t="s">
        <v>117</v>
      </c>
      <c r="V131" s="171" t="s">
        <v>118</v>
      </c>
      <c r="W131" s="171" t="s">
        <v>119</v>
      </c>
      <c r="X131" s="171" t="s">
        <v>120</v>
      </c>
      <c r="Y131" s="171" t="s">
        <v>121</v>
      </c>
      <c r="Z131" s="171" t="s">
        <v>122</v>
      </c>
      <c r="AA131" s="171" t="s">
        <v>123</v>
      </c>
      <c r="AB131" s="171" t="s">
        <v>124</v>
      </c>
      <c r="AC131" s="171" t="s">
        <v>125</v>
      </c>
      <c r="AD131" s="171" t="s">
        <v>126</v>
      </c>
      <c r="AE131" s="171" t="s">
        <v>127</v>
      </c>
      <c r="AF131" s="171" t="s">
        <v>153</v>
      </c>
    </row>
    <row r="132" spans="2:32" s="161" customFormat="1" x14ac:dyDescent="0.2">
      <c r="B132" s="172">
        <v>1</v>
      </c>
      <c r="C132" s="115" t="s">
        <v>96</v>
      </c>
      <c r="D132" s="61"/>
      <c r="E132" s="67" t="s">
        <v>35</v>
      </c>
      <c r="F132" s="17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</row>
    <row r="133" spans="2:32" s="161" customFormat="1" x14ac:dyDescent="0.2">
      <c r="B133" s="172">
        <v>2</v>
      </c>
      <c r="C133" s="115" t="s">
        <v>97</v>
      </c>
      <c r="D133" s="61"/>
      <c r="E133" s="67" t="s">
        <v>35</v>
      </c>
      <c r="F133" s="17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</row>
    <row r="134" spans="2:32" s="161" customFormat="1" x14ac:dyDescent="0.2">
      <c r="B134" s="172">
        <v>3</v>
      </c>
      <c r="C134" s="115" t="s">
        <v>98</v>
      </c>
      <c r="D134" s="61"/>
      <c r="E134" s="67" t="s">
        <v>35</v>
      </c>
      <c r="F134" s="17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</row>
    <row r="135" spans="2:32" s="161" customFormat="1" x14ac:dyDescent="0.2">
      <c r="B135" s="172">
        <v>4</v>
      </c>
      <c r="C135" s="115" t="s">
        <v>99</v>
      </c>
      <c r="D135" s="61"/>
      <c r="E135" s="67" t="s">
        <v>35</v>
      </c>
      <c r="F135" s="17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</row>
    <row r="136" spans="2:32" s="161" customFormat="1" x14ac:dyDescent="0.2">
      <c r="B136" s="172">
        <v>5</v>
      </c>
      <c r="C136" s="115" t="s">
        <v>100</v>
      </c>
      <c r="D136" s="61"/>
      <c r="E136" s="67" t="s">
        <v>35</v>
      </c>
      <c r="F136" s="17"/>
      <c r="G136" s="16" t="s">
        <v>240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2:32" s="161" customFormat="1" x14ac:dyDescent="0.2">
      <c r="B137" s="172">
        <v>6</v>
      </c>
      <c r="C137" s="115" t="s">
        <v>174</v>
      </c>
      <c r="D137" s="61"/>
      <c r="E137" s="67" t="s">
        <v>35</v>
      </c>
      <c r="F137" s="17"/>
      <c r="G137" s="16" t="s">
        <v>240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2:32" s="161" customFormat="1" x14ac:dyDescent="0.2">
      <c r="C138" s="165"/>
      <c r="D138" s="165"/>
      <c r="F138" s="126"/>
      <c r="H138" s="126"/>
      <c r="I138" s="126"/>
    </row>
    <row r="139" spans="2:32" ht="15.75" x14ac:dyDescent="0.25">
      <c r="B139" s="57" t="s">
        <v>204</v>
      </c>
      <c r="C139" s="57"/>
      <c r="D139" s="57"/>
      <c r="E139" s="66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</row>
    <row r="140" spans="2:32" ht="15.75" x14ac:dyDescent="0.25">
      <c r="B140" s="58" t="s">
        <v>14</v>
      </c>
      <c r="C140" s="58" t="s">
        <v>13</v>
      </c>
      <c r="D140" s="58"/>
      <c r="E140" s="62" t="s">
        <v>7</v>
      </c>
      <c r="F140" s="62" t="s">
        <v>37</v>
      </c>
      <c r="G140" s="171" t="s">
        <v>103</v>
      </c>
      <c r="H140" s="171" t="s">
        <v>104</v>
      </c>
      <c r="I140" s="171" t="s">
        <v>105</v>
      </c>
      <c r="J140" s="171" t="s">
        <v>106</v>
      </c>
      <c r="K140" s="171" t="s">
        <v>107</v>
      </c>
      <c r="L140" s="171" t="s">
        <v>108</v>
      </c>
      <c r="M140" s="171" t="s">
        <v>109</v>
      </c>
      <c r="N140" s="171" t="s">
        <v>110</v>
      </c>
      <c r="O140" s="171" t="s">
        <v>111</v>
      </c>
      <c r="P140" s="171" t="s">
        <v>112</v>
      </c>
      <c r="Q140" s="171" t="s">
        <v>113</v>
      </c>
      <c r="R140" s="171" t="s">
        <v>114</v>
      </c>
      <c r="S140" s="171" t="s">
        <v>115</v>
      </c>
      <c r="T140" s="171" t="s">
        <v>116</v>
      </c>
      <c r="U140" s="171" t="s">
        <v>117</v>
      </c>
      <c r="V140" s="171" t="s">
        <v>118</v>
      </c>
      <c r="W140" s="171" t="s">
        <v>119</v>
      </c>
      <c r="X140" s="171" t="s">
        <v>120</v>
      </c>
      <c r="Y140" s="171" t="s">
        <v>121</v>
      </c>
      <c r="Z140" s="171" t="s">
        <v>122</v>
      </c>
      <c r="AA140" s="171" t="s">
        <v>123</v>
      </c>
      <c r="AB140" s="171" t="s">
        <v>124</v>
      </c>
      <c r="AC140" s="171" t="s">
        <v>125</v>
      </c>
      <c r="AD140" s="171" t="s">
        <v>126</v>
      </c>
      <c r="AE140" s="171" t="s">
        <v>127</v>
      </c>
      <c r="AF140" s="171" t="s">
        <v>153</v>
      </c>
    </row>
    <row r="141" spans="2:32" x14ac:dyDescent="0.2">
      <c r="B141" s="172">
        <v>1</v>
      </c>
      <c r="C141" s="115" t="s">
        <v>96</v>
      </c>
      <c r="D141" s="61"/>
      <c r="E141" s="67" t="s">
        <v>35</v>
      </c>
      <c r="F141" s="17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</row>
    <row r="142" spans="2:32" x14ac:dyDescent="0.2">
      <c r="B142" s="172">
        <v>2</v>
      </c>
      <c r="C142" s="115" t="s">
        <v>97</v>
      </c>
      <c r="D142" s="61"/>
      <c r="E142" s="67" t="s">
        <v>35</v>
      </c>
      <c r="F142" s="17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</row>
    <row r="143" spans="2:32" x14ac:dyDescent="0.2">
      <c r="B143" s="172">
        <v>3</v>
      </c>
      <c r="C143" s="115" t="s">
        <v>98</v>
      </c>
      <c r="D143" s="61"/>
      <c r="E143" s="67" t="s">
        <v>35</v>
      </c>
      <c r="F143" s="17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</row>
    <row r="144" spans="2:32" x14ac:dyDescent="0.2">
      <c r="B144" s="172">
        <v>4</v>
      </c>
      <c r="C144" s="115" t="s">
        <v>99</v>
      </c>
      <c r="D144" s="61"/>
      <c r="E144" s="67" t="s">
        <v>35</v>
      </c>
      <c r="F144" s="17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</row>
    <row r="145" spans="2:32" x14ac:dyDescent="0.2">
      <c r="B145" s="172">
        <v>5</v>
      </c>
      <c r="C145" s="115" t="s">
        <v>100</v>
      </c>
      <c r="D145" s="61"/>
      <c r="E145" s="67" t="s">
        <v>35</v>
      </c>
      <c r="F145" s="17"/>
      <c r="G145" s="16" t="s">
        <v>240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</row>
    <row r="146" spans="2:32" x14ac:dyDescent="0.2">
      <c r="B146" s="172">
        <v>6</v>
      </c>
      <c r="C146" s="115" t="s">
        <v>174</v>
      </c>
      <c r="D146" s="61"/>
      <c r="E146" s="67" t="s">
        <v>35</v>
      </c>
      <c r="F146" s="17"/>
      <c r="G146" s="16" t="s">
        <v>240</v>
      </c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/>
  </sheetPr>
  <dimension ref="A1:AF146"/>
  <sheetViews>
    <sheetView showGridLines="0" zoomScaleNormal="100" workbookViewId="0">
      <selection activeCell="H144" sqref="H144"/>
    </sheetView>
  </sheetViews>
  <sheetFormatPr defaultColWidth="9.21875" defaultRowHeight="15" x14ac:dyDescent="0.2"/>
  <cols>
    <col min="1" max="1" width="9.88671875" style="161" customWidth="1"/>
    <col min="2" max="2" width="9.21875" style="90"/>
    <col min="3" max="3" width="18.109375" style="153" bestFit="1" customWidth="1"/>
    <col min="4" max="4" width="20.88671875" style="153" customWidth="1"/>
    <col min="5" max="5" width="9.21875" style="90"/>
    <col min="6" max="6" width="13.88671875" style="90" bestFit="1" customWidth="1"/>
    <col min="7" max="7" width="14.44140625" style="161" customWidth="1"/>
    <col min="8" max="32" width="13.6640625" style="161" customWidth="1"/>
    <col min="33" max="16384" width="9.21875" style="161"/>
  </cols>
  <sheetData>
    <row r="1" spans="2:32" ht="18" x14ac:dyDescent="0.25">
      <c r="B1" s="2" t="s">
        <v>152</v>
      </c>
      <c r="C1" s="165"/>
      <c r="D1" s="165"/>
      <c r="E1" s="161"/>
      <c r="F1" s="161"/>
    </row>
    <row r="2" spans="2:32" ht="15.75" x14ac:dyDescent="0.25">
      <c r="B2" s="3" t="s">
        <v>48</v>
      </c>
      <c r="C2" s="165"/>
      <c r="D2" s="165"/>
      <c r="E2" s="161"/>
      <c r="F2" s="29"/>
    </row>
    <row r="3" spans="2:32" ht="15.75" x14ac:dyDescent="0.25">
      <c r="B3" s="161"/>
      <c r="C3" s="165"/>
      <c r="D3" s="165"/>
      <c r="E3" s="161"/>
      <c r="F3" s="150"/>
    </row>
    <row r="4" spans="2:32" ht="21" x14ac:dyDescent="0.35">
      <c r="B4" s="162" t="s">
        <v>52</v>
      </c>
      <c r="C4" s="163"/>
      <c r="D4" s="163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</row>
    <row r="5" spans="2:32" x14ac:dyDescent="0.2">
      <c r="B5" s="161"/>
      <c r="C5" s="165"/>
      <c r="D5" s="165"/>
      <c r="E5" s="161"/>
      <c r="F5" s="126"/>
    </row>
    <row r="6" spans="2:32" ht="15.75" x14ac:dyDescent="0.25">
      <c r="B6" s="166" t="s">
        <v>36</v>
      </c>
      <c r="C6" s="167"/>
      <c r="D6" s="167"/>
      <c r="E6" s="10"/>
      <c r="F6" s="10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</row>
    <row r="7" spans="2:32" ht="15.75" x14ac:dyDescent="0.25">
      <c r="B7" s="168" t="s">
        <v>14</v>
      </c>
      <c r="C7" s="169" t="s">
        <v>13</v>
      </c>
      <c r="D7" s="169"/>
      <c r="E7" s="170" t="s">
        <v>22</v>
      </c>
      <c r="F7" s="170" t="s">
        <v>38</v>
      </c>
      <c r="G7" s="171" t="s">
        <v>103</v>
      </c>
      <c r="H7" s="171" t="s">
        <v>104</v>
      </c>
      <c r="I7" s="171" t="s">
        <v>105</v>
      </c>
      <c r="J7" s="171" t="s">
        <v>106</v>
      </c>
      <c r="K7" s="171" t="s">
        <v>107</v>
      </c>
      <c r="L7" s="171" t="s">
        <v>108</v>
      </c>
      <c r="M7" s="171" t="s">
        <v>109</v>
      </c>
      <c r="N7" s="171" t="s">
        <v>110</v>
      </c>
      <c r="O7" s="171" t="s">
        <v>111</v>
      </c>
      <c r="P7" s="171" t="s">
        <v>112</v>
      </c>
      <c r="Q7" s="171" t="s">
        <v>113</v>
      </c>
      <c r="R7" s="171" t="s">
        <v>114</v>
      </c>
      <c r="S7" s="171" t="s">
        <v>115</v>
      </c>
      <c r="T7" s="171" t="s">
        <v>116</v>
      </c>
      <c r="U7" s="171" t="s">
        <v>117</v>
      </c>
      <c r="V7" s="171" t="s">
        <v>118</v>
      </c>
      <c r="W7" s="171" t="s">
        <v>119</v>
      </c>
      <c r="X7" s="171" t="s">
        <v>120</v>
      </c>
      <c r="Y7" s="171" t="s">
        <v>121</v>
      </c>
      <c r="Z7" s="171" t="s">
        <v>122</v>
      </c>
      <c r="AA7" s="171" t="s">
        <v>123</v>
      </c>
      <c r="AB7" s="171" t="s">
        <v>124</v>
      </c>
      <c r="AC7" s="171" t="s">
        <v>125</v>
      </c>
      <c r="AD7" s="171" t="s">
        <v>126</v>
      </c>
      <c r="AE7" s="171" t="s">
        <v>127</v>
      </c>
      <c r="AF7" s="171" t="s">
        <v>153</v>
      </c>
    </row>
    <row r="8" spans="2:32" x14ac:dyDescent="0.2">
      <c r="B8" s="172">
        <v>1</v>
      </c>
      <c r="C8" s="13" t="s">
        <v>96</v>
      </c>
      <c r="D8" s="164"/>
      <c r="E8" s="173" t="s">
        <v>35</v>
      </c>
      <c r="F8" s="21">
        <v>23488158.532742985</v>
      </c>
      <c r="G8" s="20">
        <v>0</v>
      </c>
      <c r="H8" s="20">
        <v>-52746361.552258849</v>
      </c>
      <c r="I8" s="20">
        <v>-52745175.88085036</v>
      </c>
      <c r="J8" s="20">
        <v>7532705.106378004</v>
      </c>
      <c r="K8" s="20">
        <v>-68176862.849927738</v>
      </c>
      <c r="L8" s="20">
        <v>10575690.822292695</v>
      </c>
      <c r="M8" s="20">
        <v>16296616.949378479</v>
      </c>
      <c r="N8" s="20">
        <v>17221767.831349272</v>
      </c>
      <c r="O8" s="20">
        <v>21239383.664599389</v>
      </c>
      <c r="P8" s="20">
        <v>11314511.468054548</v>
      </c>
      <c r="Q8" s="20">
        <v>12822330.336239781</v>
      </c>
      <c r="R8" s="20">
        <v>15152647.731709346</v>
      </c>
      <c r="S8" s="20">
        <v>15405909.196953047</v>
      </c>
      <c r="T8" s="20">
        <v>14218829.610334776</v>
      </c>
      <c r="U8" s="20">
        <v>13449107.53693172</v>
      </c>
      <c r="V8" s="20">
        <v>72498645.429505929</v>
      </c>
      <c r="W8" s="20">
        <v>-5130781.776752783</v>
      </c>
      <c r="X8" s="20">
        <v>137953302.21850961</v>
      </c>
      <c r="Y8" s="20">
        <v>-47259178.398234561</v>
      </c>
      <c r="Z8" s="20">
        <v>46644859.215598427</v>
      </c>
      <c r="AA8" s="20">
        <v>-55658289.030447923</v>
      </c>
      <c r="AB8" s="20">
        <v>-1159899.0941946991</v>
      </c>
      <c r="AC8" s="20">
        <v>-19387801.712969519</v>
      </c>
      <c r="AD8" s="20">
        <v>-17826996.483655114</v>
      </c>
      <c r="AE8" s="20">
        <v>5307664.9472509213</v>
      </c>
      <c r="AF8" s="20">
        <v>125621044.32979858</v>
      </c>
    </row>
    <row r="9" spans="2:32" x14ac:dyDescent="0.2">
      <c r="B9" s="172">
        <v>2</v>
      </c>
      <c r="C9" s="13" t="s">
        <v>97</v>
      </c>
      <c r="D9" s="164"/>
      <c r="E9" s="173" t="s">
        <v>35</v>
      </c>
      <c r="F9" s="21">
        <v>-49295436.517669395</v>
      </c>
      <c r="G9" s="20">
        <v>0</v>
      </c>
      <c r="H9" s="20">
        <v>-75746361.552258834</v>
      </c>
      <c r="I9" s="20">
        <v>-75745175.88085036</v>
      </c>
      <c r="J9" s="20">
        <v>-15467294.893621996</v>
      </c>
      <c r="K9" s="20">
        <v>-92096862.849927738</v>
      </c>
      <c r="L9" s="20">
        <v>9655690.8222926948</v>
      </c>
      <c r="M9" s="20">
        <v>15376616.949378479</v>
      </c>
      <c r="N9" s="20">
        <v>16301767.831349272</v>
      </c>
      <c r="O9" s="20">
        <v>20319383.664599389</v>
      </c>
      <c r="P9" s="20">
        <v>10394511.468054548</v>
      </c>
      <c r="Q9" s="20">
        <v>11902330.336239781</v>
      </c>
      <c r="R9" s="20">
        <v>14232647.731709346</v>
      </c>
      <c r="S9" s="20">
        <v>14485909.196953047</v>
      </c>
      <c r="T9" s="20">
        <v>13298829.610334776</v>
      </c>
      <c r="U9" s="20">
        <v>12529107.53693172</v>
      </c>
      <c r="V9" s="20">
        <v>71578645.429505929</v>
      </c>
      <c r="W9" s="20">
        <v>-6050781.776752783</v>
      </c>
      <c r="X9" s="20">
        <v>137033302.21850961</v>
      </c>
      <c r="Y9" s="20">
        <v>-48179178.398234561</v>
      </c>
      <c r="Z9" s="20">
        <v>45724859.215598427</v>
      </c>
      <c r="AA9" s="20">
        <v>-56578289.030447923</v>
      </c>
      <c r="AB9" s="20">
        <v>-2079899.0941946991</v>
      </c>
      <c r="AC9" s="20">
        <v>-20307801.712969519</v>
      </c>
      <c r="AD9" s="20">
        <v>-18746996.483655114</v>
      </c>
      <c r="AE9" s="20">
        <v>4387664.9472509213</v>
      </c>
      <c r="AF9" s="20">
        <v>175891044.32979858</v>
      </c>
    </row>
    <row r="10" spans="2:32" x14ac:dyDescent="0.2">
      <c r="B10" s="172">
        <v>3</v>
      </c>
      <c r="C10" s="13" t="s">
        <v>98</v>
      </c>
      <c r="D10" s="164"/>
      <c r="E10" s="173" t="s">
        <v>35</v>
      </c>
      <c r="F10" s="21">
        <v>-109948827.95587559</v>
      </c>
      <c r="G10" s="20">
        <v>0</v>
      </c>
      <c r="H10" s="20">
        <v>-98219023.716488466</v>
      </c>
      <c r="I10" s="20">
        <v>-98206634.36585179</v>
      </c>
      <c r="J10" s="20">
        <v>-37958329.262929946</v>
      </c>
      <c r="K10" s="20">
        <v>-115089980.86787944</v>
      </c>
      <c r="L10" s="20">
        <v>9541101.4383480251</v>
      </c>
      <c r="M10" s="20">
        <v>15519082.786898449</v>
      </c>
      <c r="N10" s="20">
        <v>16421652.464439236</v>
      </c>
      <c r="O10" s="20">
        <v>20428809.855872922</v>
      </c>
      <c r="P10" s="20">
        <v>10158447.229646442</v>
      </c>
      <c r="Q10" s="20">
        <v>11845743.766184829</v>
      </c>
      <c r="R10" s="20">
        <v>14069217.142849296</v>
      </c>
      <c r="S10" s="20">
        <v>14520626.719146956</v>
      </c>
      <c r="T10" s="20">
        <v>13309611.313767891</v>
      </c>
      <c r="U10" s="20">
        <v>12607162.043282922</v>
      </c>
      <c r="V10" s="20">
        <v>74489881.744948998</v>
      </c>
      <c r="W10" s="20">
        <v>-6921477.9037570469</v>
      </c>
      <c r="X10" s="20">
        <v>148931036.71476364</v>
      </c>
      <c r="Y10" s="20">
        <v>-54045724.165768221</v>
      </c>
      <c r="Z10" s="20">
        <v>48430699.68120297</v>
      </c>
      <c r="AA10" s="20">
        <v>-62619054.989564642</v>
      </c>
      <c r="AB10" s="20">
        <v>-4061507.2961947042</v>
      </c>
      <c r="AC10" s="20">
        <v>-19119088.421667643</v>
      </c>
      <c r="AD10" s="20">
        <v>-16973753.593797363</v>
      </c>
      <c r="AE10" s="20">
        <v>4025637.063878864</v>
      </c>
      <c r="AF10" s="20">
        <v>225665507.88105786</v>
      </c>
    </row>
    <row r="11" spans="2:32" x14ac:dyDescent="0.2">
      <c r="B11" s="172">
        <v>4</v>
      </c>
      <c r="C11" s="13" t="s">
        <v>99</v>
      </c>
      <c r="D11" s="164"/>
      <c r="E11" s="173" t="s">
        <v>35</v>
      </c>
      <c r="F11" s="21">
        <v>-14440635.398150526</v>
      </c>
      <c r="G11" s="20">
        <v>0</v>
      </c>
      <c r="H11" s="20">
        <v>-16637773.246853488</v>
      </c>
      <c r="I11" s="20">
        <v>-16626233.395515643</v>
      </c>
      <c r="J11" s="20">
        <v>18548607.362228882</v>
      </c>
      <c r="K11" s="20">
        <v>-10330987.401712684</v>
      </c>
      <c r="L11" s="20">
        <v>345810.19196805108</v>
      </c>
      <c r="M11" s="20">
        <v>77930.409431444394</v>
      </c>
      <c r="N11" s="20">
        <v>743758.76008269947</v>
      </c>
      <c r="O11" s="20">
        <v>689379.19447674451</v>
      </c>
      <c r="P11" s="20">
        <v>391426.2291408552</v>
      </c>
      <c r="Q11" s="20">
        <v>392669.89586054825</v>
      </c>
      <c r="R11" s="20">
        <v>657407.79670220171</v>
      </c>
      <c r="S11" s="20">
        <v>687748.86626110808</v>
      </c>
      <c r="T11" s="20">
        <v>364806.80194078665</v>
      </c>
      <c r="U11" s="20">
        <v>427670.78170391935</v>
      </c>
      <c r="V11" s="20">
        <v>-17024190.903734438</v>
      </c>
      <c r="W11" s="20">
        <v>2726222.8423134885</v>
      </c>
      <c r="X11" s="20">
        <v>30213255.743822783</v>
      </c>
      <c r="Y11" s="20">
        <v>-19717969.439548582</v>
      </c>
      <c r="Z11" s="20">
        <v>8196052.2820865987</v>
      </c>
      <c r="AA11" s="20">
        <v>-31326.279515629634</v>
      </c>
      <c r="AB11" s="20">
        <v>-4878421.9490866037</v>
      </c>
      <c r="AC11" s="20">
        <v>133901.19323867746</v>
      </c>
      <c r="AD11" s="20">
        <v>-2091124.6824587253</v>
      </c>
      <c r="AE11" s="20">
        <v>2215090.970519443</v>
      </c>
      <c r="AF11" s="20">
        <v>23027307.159381978</v>
      </c>
    </row>
    <row r="12" spans="2:32" x14ac:dyDescent="0.2">
      <c r="B12" s="172">
        <v>5</v>
      </c>
      <c r="C12" s="13" t="s">
        <v>100</v>
      </c>
      <c r="D12" s="164"/>
      <c r="E12" s="173" t="s">
        <v>35</v>
      </c>
      <c r="F12" s="21">
        <v>-83726158.194014996</v>
      </c>
      <c r="G12" s="265" t="s">
        <v>240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</row>
    <row r="13" spans="2:32" x14ac:dyDescent="0.2">
      <c r="B13" s="172">
        <v>6</v>
      </c>
      <c r="C13" s="13" t="s">
        <v>174</v>
      </c>
      <c r="D13" s="164"/>
      <c r="E13" s="173" t="s">
        <v>35</v>
      </c>
      <c r="F13" s="21">
        <v>-51362840.593969904</v>
      </c>
      <c r="G13" s="265" t="s">
        <v>240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</row>
    <row r="14" spans="2:32" x14ac:dyDescent="0.2">
      <c r="B14" s="161"/>
      <c r="C14" s="165"/>
      <c r="D14" s="165"/>
      <c r="E14" s="161"/>
      <c r="F14" s="12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</row>
    <row r="15" spans="2:32" ht="15.75" x14ac:dyDescent="0.25">
      <c r="B15" s="166" t="s">
        <v>76</v>
      </c>
      <c r="C15" s="167"/>
      <c r="D15" s="167"/>
      <c r="E15" s="10"/>
      <c r="F15" s="1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</row>
    <row r="16" spans="2:32" ht="15.75" x14ac:dyDescent="0.25">
      <c r="B16" s="168" t="s">
        <v>14</v>
      </c>
      <c r="C16" s="169" t="s">
        <v>13</v>
      </c>
      <c r="D16" s="169"/>
      <c r="E16" s="170" t="s">
        <v>22</v>
      </c>
      <c r="F16" s="170" t="s">
        <v>37</v>
      </c>
      <c r="G16" s="171" t="s">
        <v>103</v>
      </c>
      <c r="H16" s="171" t="s">
        <v>104</v>
      </c>
      <c r="I16" s="171" t="s">
        <v>105</v>
      </c>
      <c r="J16" s="171" t="s">
        <v>106</v>
      </c>
      <c r="K16" s="171" t="s">
        <v>107</v>
      </c>
      <c r="L16" s="171" t="s">
        <v>108</v>
      </c>
      <c r="M16" s="171" t="s">
        <v>109</v>
      </c>
      <c r="N16" s="171" t="s">
        <v>110</v>
      </c>
      <c r="O16" s="171" t="s">
        <v>111</v>
      </c>
      <c r="P16" s="171" t="s">
        <v>112</v>
      </c>
      <c r="Q16" s="171" t="s">
        <v>113</v>
      </c>
      <c r="R16" s="171" t="s">
        <v>114</v>
      </c>
      <c r="S16" s="171" t="s">
        <v>115</v>
      </c>
      <c r="T16" s="171" t="s">
        <v>116</v>
      </c>
      <c r="U16" s="171" t="s">
        <v>117</v>
      </c>
      <c r="V16" s="171" t="s">
        <v>118</v>
      </c>
      <c r="W16" s="171" t="s">
        <v>119</v>
      </c>
      <c r="X16" s="171" t="s">
        <v>120</v>
      </c>
      <c r="Y16" s="171" t="s">
        <v>121</v>
      </c>
      <c r="Z16" s="171" t="s">
        <v>122</v>
      </c>
      <c r="AA16" s="171" t="s">
        <v>123</v>
      </c>
      <c r="AB16" s="171" t="s">
        <v>124</v>
      </c>
      <c r="AC16" s="171" t="s">
        <v>125</v>
      </c>
      <c r="AD16" s="171" t="s">
        <v>126</v>
      </c>
      <c r="AE16" s="171" t="s">
        <v>127</v>
      </c>
      <c r="AF16" s="171" t="s">
        <v>153</v>
      </c>
    </row>
    <row r="17" spans="2:32" x14ac:dyDescent="0.2">
      <c r="B17" s="172">
        <v>1</v>
      </c>
      <c r="C17" s="13" t="s">
        <v>96</v>
      </c>
      <c r="D17" s="164"/>
      <c r="E17" s="173" t="s">
        <v>35</v>
      </c>
      <c r="F17" s="21">
        <v>190691292.08372971</v>
      </c>
      <c r="G17" s="20">
        <v>0</v>
      </c>
      <c r="H17" s="20">
        <v>3638.4477411526009</v>
      </c>
      <c r="I17" s="20">
        <v>4824.1191496456722</v>
      </c>
      <c r="J17" s="20">
        <v>60282705.106378004</v>
      </c>
      <c r="K17" s="20">
        <v>-13316862.849927738</v>
      </c>
      <c r="L17" s="20">
        <v>12685690.822292695</v>
      </c>
      <c r="M17" s="20">
        <v>18406616.949378479</v>
      </c>
      <c r="N17" s="20">
        <v>19331767.831349272</v>
      </c>
      <c r="O17" s="20">
        <v>23349383.664599389</v>
      </c>
      <c r="P17" s="20">
        <v>13424511.468054548</v>
      </c>
      <c r="Q17" s="20">
        <v>14932330.336239778</v>
      </c>
      <c r="R17" s="20">
        <v>17262647.731709346</v>
      </c>
      <c r="S17" s="20">
        <v>17515909.196953047</v>
      </c>
      <c r="T17" s="20">
        <v>16328829.610334776</v>
      </c>
      <c r="U17" s="20">
        <v>15559107.53693172</v>
      </c>
      <c r="V17" s="20">
        <v>74608645.429505929</v>
      </c>
      <c r="W17" s="20">
        <v>-3020781.776752783</v>
      </c>
      <c r="X17" s="20">
        <v>140063302.21850961</v>
      </c>
      <c r="Y17" s="20">
        <v>-45149178.398234561</v>
      </c>
      <c r="Z17" s="20">
        <v>48754859.215598427</v>
      </c>
      <c r="AA17" s="20">
        <v>-53548289.030447923</v>
      </c>
      <c r="AB17" s="20">
        <v>950100.90580530092</v>
      </c>
      <c r="AC17" s="20">
        <v>-17277801.712969519</v>
      </c>
      <c r="AD17" s="20">
        <v>-15716996.483655114</v>
      </c>
      <c r="AE17" s="20">
        <v>7417664.9472509213</v>
      </c>
      <c r="AF17" s="20">
        <v>11551044.329798572</v>
      </c>
    </row>
    <row r="18" spans="2:32" x14ac:dyDescent="0.2">
      <c r="B18" s="172">
        <v>2</v>
      </c>
      <c r="C18" s="13" t="s">
        <v>97</v>
      </c>
      <c r="D18" s="164"/>
      <c r="E18" s="173" t="s">
        <v>35</v>
      </c>
      <c r="F18" s="21">
        <v>190691292.08372971</v>
      </c>
      <c r="G18" s="20">
        <v>0</v>
      </c>
      <c r="H18" s="20">
        <v>3638.4477411526009</v>
      </c>
      <c r="I18" s="20">
        <v>4824.1191496456722</v>
      </c>
      <c r="J18" s="20">
        <v>60282705.106378004</v>
      </c>
      <c r="K18" s="20">
        <v>-13316862.849927738</v>
      </c>
      <c r="L18" s="20">
        <v>12685690.822292695</v>
      </c>
      <c r="M18" s="20">
        <v>18406616.949378479</v>
      </c>
      <c r="N18" s="20">
        <v>19331767.831349272</v>
      </c>
      <c r="O18" s="20">
        <v>23349383.664599389</v>
      </c>
      <c r="P18" s="20">
        <v>13424511.468054548</v>
      </c>
      <c r="Q18" s="20">
        <v>14932330.336239778</v>
      </c>
      <c r="R18" s="20">
        <v>17262647.731709346</v>
      </c>
      <c r="S18" s="20">
        <v>17515909.196953047</v>
      </c>
      <c r="T18" s="20">
        <v>16328829.610334776</v>
      </c>
      <c r="U18" s="20">
        <v>15559107.53693172</v>
      </c>
      <c r="V18" s="20">
        <v>74608645.429505929</v>
      </c>
      <c r="W18" s="20">
        <v>-3020781.776752783</v>
      </c>
      <c r="X18" s="20">
        <v>140063302.21850961</v>
      </c>
      <c r="Y18" s="20">
        <v>-45149178.398234561</v>
      </c>
      <c r="Z18" s="20">
        <v>48754859.215598427</v>
      </c>
      <c r="AA18" s="20">
        <v>-53548289.030447923</v>
      </c>
      <c r="AB18" s="20">
        <v>950100.90580530092</v>
      </c>
      <c r="AC18" s="20">
        <v>-17277801.712969519</v>
      </c>
      <c r="AD18" s="20">
        <v>-15716996.483655114</v>
      </c>
      <c r="AE18" s="20">
        <v>7417664.9472509213</v>
      </c>
      <c r="AF18" s="20">
        <v>11551044.329798572</v>
      </c>
    </row>
    <row r="19" spans="2:32" x14ac:dyDescent="0.2">
      <c r="B19" s="172">
        <v>3</v>
      </c>
      <c r="C19" s="13" t="s">
        <v>98</v>
      </c>
      <c r="D19" s="164"/>
      <c r="E19" s="173" t="s">
        <v>35</v>
      </c>
      <c r="F19" s="21">
        <v>201216079.90750727</v>
      </c>
      <c r="G19" s="20">
        <v>0</v>
      </c>
      <c r="H19" s="20">
        <v>30976.283511536301</v>
      </c>
      <c r="I19" s="20">
        <v>43365.634148209057</v>
      </c>
      <c r="J19" s="20">
        <v>60291670.737070046</v>
      </c>
      <c r="K19" s="20">
        <v>-12909980.867879443</v>
      </c>
      <c r="L19" s="20">
        <v>13471101.438348023</v>
      </c>
      <c r="M19" s="20">
        <v>19449082.786898449</v>
      </c>
      <c r="N19" s="20">
        <v>20351652.464439236</v>
      </c>
      <c r="O19" s="20">
        <v>24358809.855872922</v>
      </c>
      <c r="P19" s="20">
        <v>14088447.229646441</v>
      </c>
      <c r="Q19" s="20">
        <v>15775743.766184829</v>
      </c>
      <c r="R19" s="20">
        <v>17999217.142849296</v>
      </c>
      <c r="S19" s="20">
        <v>18450626.719146956</v>
      </c>
      <c r="T19" s="20">
        <v>17239611.313767891</v>
      </c>
      <c r="U19" s="20">
        <v>16537162.043282922</v>
      </c>
      <c r="V19" s="20">
        <v>78419881.744948998</v>
      </c>
      <c r="W19" s="20">
        <v>-2991477.9037570469</v>
      </c>
      <c r="X19" s="20">
        <v>152861036.71476364</v>
      </c>
      <c r="Y19" s="20">
        <v>-50115724.165768221</v>
      </c>
      <c r="Z19" s="20">
        <v>52360699.68120297</v>
      </c>
      <c r="AA19" s="20">
        <v>-58689054.989564642</v>
      </c>
      <c r="AB19" s="20">
        <v>-131507.29619470425</v>
      </c>
      <c r="AC19" s="20">
        <v>-15189088.421667643</v>
      </c>
      <c r="AD19" s="20">
        <v>-13043753.593797363</v>
      </c>
      <c r="AE19" s="20">
        <v>7955637.063878864</v>
      </c>
      <c r="AF19" s="20">
        <v>12045507.881057858</v>
      </c>
    </row>
    <row r="20" spans="2:32" x14ac:dyDescent="0.2">
      <c r="B20" s="172">
        <v>4</v>
      </c>
      <c r="C20" s="13" t="s">
        <v>99</v>
      </c>
      <c r="D20" s="164"/>
      <c r="E20" s="173" t="s">
        <v>35</v>
      </c>
      <c r="F20" s="21">
        <v>28145008.303306513</v>
      </c>
      <c r="G20" s="20">
        <v>0</v>
      </c>
      <c r="H20" s="20">
        <v>28893.419813179036</v>
      </c>
      <c r="I20" s="20">
        <v>40433.271151021327</v>
      </c>
      <c r="J20" s="20">
        <v>35715274.028895549</v>
      </c>
      <c r="K20" s="20">
        <v>-9830987.401712684</v>
      </c>
      <c r="L20" s="20">
        <v>845810.19196805113</v>
      </c>
      <c r="M20" s="20">
        <v>577930.40943144448</v>
      </c>
      <c r="N20" s="20">
        <v>1243758.7600826996</v>
      </c>
      <c r="O20" s="20">
        <v>1189379.1944767444</v>
      </c>
      <c r="P20" s="20">
        <v>891426.22914085526</v>
      </c>
      <c r="Q20" s="20">
        <v>892669.89586054836</v>
      </c>
      <c r="R20" s="20">
        <v>1157407.7967022017</v>
      </c>
      <c r="S20" s="20">
        <v>1187748.8662611081</v>
      </c>
      <c r="T20" s="20">
        <v>864806.80194078654</v>
      </c>
      <c r="U20" s="20">
        <v>927670.78170391941</v>
      </c>
      <c r="V20" s="20">
        <v>-16524190.903734438</v>
      </c>
      <c r="W20" s="20">
        <v>3226222.8423134885</v>
      </c>
      <c r="X20" s="20">
        <v>30713255.743822783</v>
      </c>
      <c r="Y20" s="20">
        <v>-19217969.439548582</v>
      </c>
      <c r="Z20" s="20">
        <v>8696052.2820865978</v>
      </c>
      <c r="AA20" s="20">
        <v>468673.72048437037</v>
      </c>
      <c r="AB20" s="20">
        <v>-4378421.9490866037</v>
      </c>
      <c r="AC20" s="20">
        <v>633901.19323867746</v>
      </c>
      <c r="AD20" s="20">
        <v>-1591124.6824587253</v>
      </c>
      <c r="AE20" s="20">
        <v>2715090.970519443</v>
      </c>
      <c r="AF20" s="20">
        <v>2277307.1593819787</v>
      </c>
    </row>
    <row r="21" spans="2:32" x14ac:dyDescent="0.2">
      <c r="B21" s="172">
        <v>5</v>
      </c>
      <c r="C21" s="13" t="s">
        <v>100</v>
      </c>
      <c r="D21" s="164"/>
      <c r="E21" s="173" t="s">
        <v>35</v>
      </c>
      <c r="F21" s="21"/>
      <c r="G21" s="265" t="s">
        <v>240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</row>
    <row r="22" spans="2:32" x14ac:dyDescent="0.2">
      <c r="B22" s="172">
        <v>6</v>
      </c>
      <c r="C22" s="13" t="s">
        <v>174</v>
      </c>
      <c r="D22" s="164"/>
      <c r="E22" s="173" t="s">
        <v>35</v>
      </c>
      <c r="F22" s="21"/>
      <c r="G22" s="265" t="s">
        <v>240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</row>
    <row r="23" spans="2:32" x14ac:dyDescent="0.2">
      <c r="B23" s="161"/>
      <c r="C23" s="165"/>
      <c r="D23" s="165"/>
      <c r="E23" s="161"/>
      <c r="F23" s="161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</row>
    <row r="24" spans="2:32" ht="15.75" x14ac:dyDescent="0.25">
      <c r="B24" s="166" t="s">
        <v>77</v>
      </c>
      <c r="C24" s="167"/>
      <c r="D24" s="167"/>
      <c r="E24" s="10"/>
      <c r="F24" s="1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</row>
    <row r="25" spans="2:32" ht="15.75" x14ac:dyDescent="0.25">
      <c r="B25" s="168" t="s">
        <v>14</v>
      </c>
      <c r="C25" s="169" t="s">
        <v>13</v>
      </c>
      <c r="D25" s="169"/>
      <c r="E25" s="170" t="s">
        <v>22</v>
      </c>
      <c r="F25" s="170" t="s">
        <v>37</v>
      </c>
      <c r="G25" s="171" t="s">
        <v>103</v>
      </c>
      <c r="H25" s="171" t="s">
        <v>104</v>
      </c>
      <c r="I25" s="171" t="s">
        <v>105</v>
      </c>
      <c r="J25" s="171" t="s">
        <v>106</v>
      </c>
      <c r="K25" s="171" t="s">
        <v>107</v>
      </c>
      <c r="L25" s="171" t="s">
        <v>108</v>
      </c>
      <c r="M25" s="171" t="s">
        <v>109</v>
      </c>
      <c r="N25" s="171" t="s">
        <v>110</v>
      </c>
      <c r="O25" s="171" t="s">
        <v>111</v>
      </c>
      <c r="P25" s="171" t="s">
        <v>112</v>
      </c>
      <c r="Q25" s="171" t="s">
        <v>113</v>
      </c>
      <c r="R25" s="171" t="s">
        <v>114</v>
      </c>
      <c r="S25" s="171" t="s">
        <v>115</v>
      </c>
      <c r="T25" s="171" t="s">
        <v>116</v>
      </c>
      <c r="U25" s="171" t="s">
        <v>117</v>
      </c>
      <c r="V25" s="171" t="s">
        <v>118</v>
      </c>
      <c r="W25" s="171" t="s">
        <v>119</v>
      </c>
      <c r="X25" s="171" t="s">
        <v>120</v>
      </c>
      <c r="Y25" s="171" t="s">
        <v>121</v>
      </c>
      <c r="Z25" s="171" t="s">
        <v>122</v>
      </c>
      <c r="AA25" s="171" t="s">
        <v>123</v>
      </c>
      <c r="AB25" s="171" t="s">
        <v>124</v>
      </c>
      <c r="AC25" s="171" t="s">
        <v>125</v>
      </c>
      <c r="AD25" s="171" t="s">
        <v>126</v>
      </c>
      <c r="AE25" s="171" t="s">
        <v>127</v>
      </c>
      <c r="AF25" s="171" t="s">
        <v>153</v>
      </c>
    </row>
    <row r="26" spans="2:32" x14ac:dyDescent="0.2">
      <c r="B26" s="172">
        <v>1</v>
      </c>
      <c r="C26" s="13" t="s">
        <v>96</v>
      </c>
      <c r="D26" s="164"/>
      <c r="E26" s="173" t="s">
        <v>35</v>
      </c>
      <c r="F26" s="21">
        <v>-167203133.55098665</v>
      </c>
      <c r="G26" s="20">
        <v>0</v>
      </c>
      <c r="H26" s="20">
        <v>-52750000</v>
      </c>
      <c r="I26" s="20">
        <v>-52750000</v>
      </c>
      <c r="J26" s="20">
        <v>-52750000</v>
      </c>
      <c r="K26" s="20">
        <v>-54860000</v>
      </c>
      <c r="L26" s="20">
        <v>-2110000</v>
      </c>
      <c r="M26" s="20">
        <v>-2110000</v>
      </c>
      <c r="N26" s="20">
        <v>-2110000</v>
      </c>
      <c r="O26" s="20">
        <v>-2110000</v>
      </c>
      <c r="P26" s="20">
        <v>-2110000</v>
      </c>
      <c r="Q26" s="20">
        <v>-2110000</v>
      </c>
      <c r="R26" s="20">
        <v>-2110000</v>
      </c>
      <c r="S26" s="20">
        <v>-2110000</v>
      </c>
      <c r="T26" s="20">
        <v>-2110000</v>
      </c>
      <c r="U26" s="20">
        <v>-2110000</v>
      </c>
      <c r="V26" s="20">
        <v>-2110000</v>
      </c>
      <c r="W26" s="20">
        <v>-2110000</v>
      </c>
      <c r="X26" s="20">
        <v>-2110000</v>
      </c>
      <c r="Y26" s="20">
        <v>-2110000</v>
      </c>
      <c r="Z26" s="20">
        <v>-2110000</v>
      </c>
      <c r="AA26" s="20">
        <v>-2110000</v>
      </c>
      <c r="AB26" s="20">
        <v>-2110000</v>
      </c>
      <c r="AC26" s="20">
        <v>-2110000</v>
      </c>
      <c r="AD26" s="20">
        <v>-2110000</v>
      </c>
      <c r="AE26" s="20">
        <v>-2110000</v>
      </c>
      <c r="AF26" s="20">
        <v>114070000</v>
      </c>
    </row>
    <row r="27" spans="2:32" x14ac:dyDescent="0.2">
      <c r="B27" s="172">
        <v>2</v>
      </c>
      <c r="C27" s="13" t="s">
        <v>97</v>
      </c>
      <c r="D27" s="164"/>
      <c r="E27" s="173" t="s">
        <v>35</v>
      </c>
      <c r="F27" s="21">
        <v>-239986728.60139909</v>
      </c>
      <c r="G27" s="20">
        <v>0</v>
      </c>
      <c r="H27" s="20">
        <v>-75750000</v>
      </c>
      <c r="I27" s="20">
        <v>-75750000</v>
      </c>
      <c r="J27" s="20">
        <v>-75750000</v>
      </c>
      <c r="K27" s="20">
        <v>-78780000</v>
      </c>
      <c r="L27" s="20">
        <v>-3030000</v>
      </c>
      <c r="M27" s="20">
        <v>-3030000</v>
      </c>
      <c r="N27" s="20">
        <v>-3030000</v>
      </c>
      <c r="O27" s="20">
        <v>-3030000</v>
      </c>
      <c r="P27" s="20">
        <v>-3030000</v>
      </c>
      <c r="Q27" s="20">
        <v>-3030000</v>
      </c>
      <c r="R27" s="20">
        <v>-3030000</v>
      </c>
      <c r="S27" s="20">
        <v>-3030000</v>
      </c>
      <c r="T27" s="20">
        <v>-3030000</v>
      </c>
      <c r="U27" s="20">
        <v>-3030000</v>
      </c>
      <c r="V27" s="20">
        <v>-3030000</v>
      </c>
      <c r="W27" s="20">
        <v>-3030000</v>
      </c>
      <c r="X27" s="20">
        <v>-3030000</v>
      </c>
      <c r="Y27" s="20">
        <v>-3030000</v>
      </c>
      <c r="Z27" s="20">
        <v>-3030000</v>
      </c>
      <c r="AA27" s="20">
        <v>-3030000</v>
      </c>
      <c r="AB27" s="20">
        <v>-3030000</v>
      </c>
      <c r="AC27" s="20">
        <v>-3030000</v>
      </c>
      <c r="AD27" s="20">
        <v>-3030000</v>
      </c>
      <c r="AE27" s="20">
        <v>-3030000</v>
      </c>
      <c r="AF27" s="20">
        <v>164340000</v>
      </c>
    </row>
    <row r="28" spans="2:32" x14ac:dyDescent="0.2">
      <c r="B28" s="172">
        <v>3</v>
      </c>
      <c r="C28" s="13" t="s">
        <v>98</v>
      </c>
      <c r="D28" s="164"/>
      <c r="E28" s="173" t="s">
        <v>35</v>
      </c>
      <c r="F28" s="21">
        <v>-311164907.86338294</v>
      </c>
      <c r="G28" s="20">
        <v>0</v>
      </c>
      <c r="H28" s="20">
        <v>-98250000</v>
      </c>
      <c r="I28" s="20">
        <v>-98250000</v>
      </c>
      <c r="J28" s="20">
        <v>-98250000</v>
      </c>
      <c r="K28" s="20">
        <v>-102180000</v>
      </c>
      <c r="L28" s="20">
        <v>-3930000</v>
      </c>
      <c r="M28" s="20">
        <v>-3930000</v>
      </c>
      <c r="N28" s="20">
        <v>-3930000</v>
      </c>
      <c r="O28" s="20">
        <v>-3930000</v>
      </c>
      <c r="P28" s="20">
        <v>-3930000</v>
      </c>
      <c r="Q28" s="20">
        <v>-3930000</v>
      </c>
      <c r="R28" s="20">
        <v>-3930000</v>
      </c>
      <c r="S28" s="20">
        <v>-3930000</v>
      </c>
      <c r="T28" s="20">
        <v>-3930000</v>
      </c>
      <c r="U28" s="20">
        <v>-3930000</v>
      </c>
      <c r="V28" s="20">
        <v>-3930000</v>
      </c>
      <c r="W28" s="20">
        <v>-3930000</v>
      </c>
      <c r="X28" s="20">
        <v>-3930000</v>
      </c>
      <c r="Y28" s="20">
        <v>-3930000</v>
      </c>
      <c r="Z28" s="20">
        <v>-3930000</v>
      </c>
      <c r="AA28" s="20">
        <v>-3930000</v>
      </c>
      <c r="AB28" s="20">
        <v>-3930000</v>
      </c>
      <c r="AC28" s="20">
        <v>-3930000</v>
      </c>
      <c r="AD28" s="20">
        <v>-3930000</v>
      </c>
      <c r="AE28" s="20">
        <v>-3930000</v>
      </c>
      <c r="AF28" s="20">
        <v>213620000</v>
      </c>
    </row>
    <row r="29" spans="2:32" x14ac:dyDescent="0.2">
      <c r="B29" s="172">
        <v>4</v>
      </c>
      <c r="C29" s="13" t="s">
        <v>99</v>
      </c>
      <c r="D29" s="164"/>
      <c r="E29" s="173" t="s">
        <v>35</v>
      </c>
      <c r="F29" s="21">
        <v>-42585643.701457031</v>
      </c>
      <c r="G29" s="20">
        <v>0</v>
      </c>
      <c r="H29" s="20">
        <v>-16666666.666666666</v>
      </c>
      <c r="I29" s="20">
        <v>-16666666.666666666</v>
      </c>
      <c r="J29" s="20">
        <v>-17166666.666666664</v>
      </c>
      <c r="K29" s="20">
        <v>-500000</v>
      </c>
      <c r="L29" s="20">
        <v>-500000</v>
      </c>
      <c r="M29" s="20">
        <v>-500000</v>
      </c>
      <c r="N29" s="20">
        <v>-500000</v>
      </c>
      <c r="O29" s="20">
        <v>-500000</v>
      </c>
      <c r="P29" s="20">
        <v>-500000</v>
      </c>
      <c r="Q29" s="20">
        <v>-500000</v>
      </c>
      <c r="R29" s="20">
        <v>-500000</v>
      </c>
      <c r="S29" s="20">
        <v>-500000</v>
      </c>
      <c r="T29" s="20">
        <v>-500000</v>
      </c>
      <c r="U29" s="20">
        <v>-500000</v>
      </c>
      <c r="V29" s="20">
        <v>-500000</v>
      </c>
      <c r="W29" s="20">
        <v>-500000</v>
      </c>
      <c r="X29" s="20">
        <v>-500000</v>
      </c>
      <c r="Y29" s="20">
        <v>-500000</v>
      </c>
      <c r="Z29" s="20">
        <v>-500000</v>
      </c>
      <c r="AA29" s="20">
        <v>-500000</v>
      </c>
      <c r="AB29" s="20">
        <v>-500000</v>
      </c>
      <c r="AC29" s="20">
        <v>-500000</v>
      </c>
      <c r="AD29" s="20">
        <v>-500000</v>
      </c>
      <c r="AE29" s="20">
        <v>-500000</v>
      </c>
      <c r="AF29" s="20">
        <v>20750000</v>
      </c>
    </row>
    <row r="30" spans="2:32" x14ac:dyDescent="0.2">
      <c r="B30" s="172">
        <v>5</v>
      </c>
      <c r="C30" s="13" t="s">
        <v>100</v>
      </c>
      <c r="D30" s="164"/>
      <c r="E30" s="173" t="s">
        <v>35</v>
      </c>
      <c r="F30" s="21"/>
      <c r="G30" s="265" t="s">
        <v>240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2:32" x14ac:dyDescent="0.2">
      <c r="B31" s="172">
        <v>6</v>
      </c>
      <c r="C31" s="13" t="s">
        <v>174</v>
      </c>
      <c r="D31" s="164"/>
      <c r="E31" s="173" t="s">
        <v>35</v>
      </c>
      <c r="F31" s="21"/>
      <c r="G31" s="265" t="s">
        <v>240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</row>
    <row r="32" spans="2:32" x14ac:dyDescent="0.2">
      <c r="B32" s="161"/>
      <c r="C32" s="165"/>
      <c r="D32" s="165"/>
      <c r="E32" s="161"/>
      <c r="F32" s="161"/>
    </row>
    <row r="33" spans="1:32" ht="21" x14ac:dyDescent="0.35">
      <c r="B33" s="162" t="s">
        <v>50</v>
      </c>
      <c r="C33" s="163"/>
      <c r="D33" s="163"/>
      <c r="E33" s="162"/>
      <c r="F33" s="130"/>
      <c r="G33" s="130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</row>
    <row r="34" spans="1:32" x14ac:dyDescent="0.2">
      <c r="B34" s="161"/>
      <c r="C34" s="165"/>
      <c r="D34" s="165"/>
      <c r="E34" s="161"/>
      <c r="F34" s="161"/>
    </row>
    <row r="35" spans="1:32" ht="15.75" x14ac:dyDescent="0.25">
      <c r="B35" s="58" t="s">
        <v>90</v>
      </c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</row>
    <row r="36" spans="1:32" x14ac:dyDescent="0.2">
      <c r="B36" s="164" t="s">
        <v>94</v>
      </c>
      <c r="C36" s="164"/>
      <c r="D36" s="164"/>
      <c r="E36" s="164"/>
      <c r="F36" s="164"/>
      <c r="G36" s="142">
        <v>1</v>
      </c>
      <c r="H36" s="142">
        <v>2</v>
      </c>
      <c r="I36" s="142">
        <v>3</v>
      </c>
      <c r="J36" s="142">
        <v>4</v>
      </c>
      <c r="K36" s="142">
        <v>5</v>
      </c>
      <c r="L36" s="142">
        <v>6</v>
      </c>
      <c r="M36" s="142">
        <v>7</v>
      </c>
      <c r="N36" s="142">
        <v>8</v>
      </c>
      <c r="O36" s="142">
        <v>9</v>
      </c>
      <c r="P36" s="142">
        <v>10</v>
      </c>
      <c r="Q36" s="142">
        <v>11</v>
      </c>
      <c r="R36" s="142">
        <v>12</v>
      </c>
      <c r="S36" s="142">
        <v>13</v>
      </c>
      <c r="T36" s="142">
        <v>14</v>
      </c>
      <c r="U36" s="142">
        <v>15</v>
      </c>
      <c r="V36" s="142">
        <v>16</v>
      </c>
      <c r="W36" s="142">
        <v>17</v>
      </c>
      <c r="X36" s="142">
        <v>18</v>
      </c>
      <c r="Y36" s="142">
        <v>19</v>
      </c>
      <c r="Z36" s="142">
        <v>20</v>
      </c>
      <c r="AA36" s="142">
        <v>21</v>
      </c>
      <c r="AB36" s="142">
        <v>22</v>
      </c>
      <c r="AC36" s="142">
        <v>23</v>
      </c>
      <c r="AD36" s="142">
        <v>24</v>
      </c>
      <c r="AE36" s="142">
        <v>25</v>
      </c>
      <c r="AF36" s="142">
        <v>26</v>
      </c>
    </row>
    <row r="37" spans="1:32" x14ac:dyDescent="0.2">
      <c r="B37" s="164" t="s">
        <v>92</v>
      </c>
      <c r="C37" s="164"/>
      <c r="D37" s="164"/>
      <c r="E37" s="164"/>
      <c r="F37" s="164"/>
      <c r="G37" s="142" t="s">
        <v>103</v>
      </c>
      <c r="H37" s="142" t="s">
        <v>104</v>
      </c>
      <c r="I37" s="142" t="s">
        <v>105</v>
      </c>
      <c r="J37" s="142" t="s">
        <v>106</v>
      </c>
      <c r="K37" s="142" t="s">
        <v>107</v>
      </c>
      <c r="L37" s="142" t="s">
        <v>108</v>
      </c>
      <c r="M37" s="142" t="s">
        <v>109</v>
      </c>
      <c r="N37" s="142" t="s">
        <v>110</v>
      </c>
      <c r="O37" s="142" t="s">
        <v>111</v>
      </c>
      <c r="P37" s="142" t="s">
        <v>112</v>
      </c>
      <c r="Q37" s="142" t="s">
        <v>113</v>
      </c>
      <c r="R37" s="142" t="s">
        <v>114</v>
      </c>
      <c r="S37" s="142" t="s">
        <v>115</v>
      </c>
      <c r="T37" s="142" t="s">
        <v>116</v>
      </c>
      <c r="U37" s="142" t="s">
        <v>117</v>
      </c>
      <c r="V37" s="142" t="s">
        <v>118</v>
      </c>
      <c r="W37" s="142" t="s">
        <v>119</v>
      </c>
      <c r="X37" s="142" t="s">
        <v>120</v>
      </c>
      <c r="Y37" s="142" t="s">
        <v>121</v>
      </c>
      <c r="Z37" s="142" t="s">
        <v>122</v>
      </c>
      <c r="AA37" s="142" t="s">
        <v>123</v>
      </c>
      <c r="AB37" s="142" t="s">
        <v>124</v>
      </c>
      <c r="AC37" s="142" t="s">
        <v>125</v>
      </c>
      <c r="AD37" s="142" t="s">
        <v>126</v>
      </c>
      <c r="AE37" s="142" t="s">
        <v>127</v>
      </c>
      <c r="AF37" s="142" t="s">
        <v>153</v>
      </c>
    </row>
    <row r="38" spans="1:32" x14ac:dyDescent="0.2">
      <c r="B38" s="164" t="s">
        <v>91</v>
      </c>
      <c r="C38" s="164"/>
      <c r="D38" s="164"/>
      <c r="E38" s="164"/>
      <c r="F38" s="164"/>
      <c r="G38" s="142" t="s">
        <v>210</v>
      </c>
      <c r="H38" s="142" t="s">
        <v>211</v>
      </c>
      <c r="I38" s="142" t="s">
        <v>212</v>
      </c>
      <c r="J38" s="142" t="s">
        <v>213</v>
      </c>
      <c r="K38" s="142" t="s">
        <v>214</v>
      </c>
      <c r="L38" s="142" t="s">
        <v>215</v>
      </c>
      <c r="M38" s="142" t="s">
        <v>216</v>
      </c>
      <c r="N38" s="142" t="s">
        <v>217</v>
      </c>
      <c r="O38" s="142" t="s">
        <v>218</v>
      </c>
      <c r="P38" s="142" t="s">
        <v>219</v>
      </c>
      <c r="Q38" s="142" t="s">
        <v>220</v>
      </c>
      <c r="R38" s="142" t="s">
        <v>221</v>
      </c>
      <c r="S38" s="142" t="s">
        <v>222</v>
      </c>
      <c r="T38" s="142" t="s">
        <v>223</v>
      </c>
      <c r="U38" s="142" t="s">
        <v>224</v>
      </c>
      <c r="V38" s="142" t="s">
        <v>225</v>
      </c>
      <c r="W38" s="142" t="s">
        <v>226</v>
      </c>
      <c r="X38" s="142" t="s">
        <v>227</v>
      </c>
      <c r="Y38" s="142" t="s">
        <v>228</v>
      </c>
      <c r="Z38" s="142" t="s">
        <v>229</v>
      </c>
      <c r="AA38" s="142" t="s">
        <v>230</v>
      </c>
      <c r="AB38" s="142" t="s">
        <v>231</v>
      </c>
      <c r="AC38" s="142" t="s">
        <v>232</v>
      </c>
      <c r="AD38" s="142" t="s">
        <v>233</v>
      </c>
      <c r="AE38" s="142" t="s">
        <v>234</v>
      </c>
      <c r="AF38" s="142" t="s">
        <v>235</v>
      </c>
    </row>
    <row r="39" spans="1:32" x14ac:dyDescent="0.2">
      <c r="B39" s="164" t="s">
        <v>89</v>
      </c>
      <c r="C39" s="164"/>
      <c r="D39" s="164"/>
      <c r="E39" s="164"/>
      <c r="F39" s="164"/>
      <c r="G39" s="142">
        <v>2021</v>
      </c>
      <c r="H39" s="142">
        <v>2022</v>
      </c>
      <c r="I39" s="142">
        <v>2023</v>
      </c>
      <c r="J39" s="142">
        <v>2024</v>
      </c>
      <c r="K39" s="142">
        <v>2025</v>
      </c>
      <c r="L39" s="142">
        <v>2026</v>
      </c>
      <c r="M39" s="142">
        <v>2027</v>
      </c>
      <c r="N39" s="142">
        <v>2028</v>
      </c>
      <c r="O39" s="142">
        <v>2029</v>
      </c>
      <c r="P39" s="142">
        <v>2030</v>
      </c>
      <c r="Q39" s="142">
        <v>2031</v>
      </c>
      <c r="R39" s="142">
        <v>2032</v>
      </c>
      <c r="S39" s="142">
        <v>2033</v>
      </c>
      <c r="T39" s="142">
        <v>2034</v>
      </c>
      <c r="U39" s="142">
        <v>2035</v>
      </c>
      <c r="V39" s="142">
        <v>2036</v>
      </c>
      <c r="W39" s="142">
        <v>2037</v>
      </c>
      <c r="X39" s="142">
        <v>2038</v>
      </c>
      <c r="Y39" s="142">
        <v>2039</v>
      </c>
      <c r="Z39" s="142">
        <v>2040</v>
      </c>
      <c r="AA39" s="142">
        <v>2041</v>
      </c>
      <c r="AB39" s="142">
        <v>2042</v>
      </c>
      <c r="AC39" s="142">
        <v>2043</v>
      </c>
      <c r="AD39" s="142">
        <v>2044</v>
      </c>
      <c r="AE39" s="142">
        <v>2045</v>
      </c>
      <c r="AF39" s="142">
        <v>2046</v>
      </c>
    </row>
    <row r="40" spans="1:32" x14ac:dyDescent="0.2">
      <c r="B40" s="161"/>
      <c r="C40" s="165"/>
      <c r="D40" s="165"/>
      <c r="E40" s="161"/>
      <c r="F40" s="161"/>
    </row>
    <row r="41" spans="1:32" ht="15.75" x14ac:dyDescent="0.25">
      <c r="B41" s="166" t="s">
        <v>17</v>
      </c>
      <c r="C41" s="167"/>
      <c r="D41" s="167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</row>
    <row r="42" spans="1:32" ht="15.75" x14ac:dyDescent="0.25">
      <c r="B42" s="168" t="s">
        <v>14</v>
      </c>
      <c r="C42" s="169" t="s">
        <v>13</v>
      </c>
      <c r="D42" s="169" t="s">
        <v>55</v>
      </c>
      <c r="E42" s="170" t="s">
        <v>22</v>
      </c>
      <c r="F42" s="170" t="s">
        <v>37</v>
      </c>
      <c r="G42" s="171" t="s">
        <v>103</v>
      </c>
      <c r="H42" s="171" t="s">
        <v>104</v>
      </c>
      <c r="I42" s="171" t="s">
        <v>105</v>
      </c>
      <c r="J42" s="171" t="s">
        <v>106</v>
      </c>
      <c r="K42" s="171" t="s">
        <v>107</v>
      </c>
      <c r="L42" s="171" t="s">
        <v>108</v>
      </c>
      <c r="M42" s="171" t="s">
        <v>109</v>
      </c>
      <c r="N42" s="171" t="s">
        <v>110</v>
      </c>
      <c r="O42" s="171" t="s">
        <v>111</v>
      </c>
      <c r="P42" s="171" t="s">
        <v>112</v>
      </c>
      <c r="Q42" s="171" t="s">
        <v>113</v>
      </c>
      <c r="R42" s="171" t="s">
        <v>114</v>
      </c>
      <c r="S42" s="171" t="s">
        <v>115</v>
      </c>
      <c r="T42" s="171" t="s">
        <v>116</v>
      </c>
      <c r="U42" s="171" t="s">
        <v>117</v>
      </c>
      <c r="V42" s="171" t="s">
        <v>118</v>
      </c>
      <c r="W42" s="171" t="s">
        <v>119</v>
      </c>
      <c r="X42" s="171" t="s">
        <v>120</v>
      </c>
      <c r="Y42" s="171" t="s">
        <v>121</v>
      </c>
      <c r="Z42" s="171" t="s">
        <v>122</v>
      </c>
      <c r="AA42" s="171" t="s">
        <v>123</v>
      </c>
      <c r="AB42" s="171" t="s">
        <v>124</v>
      </c>
      <c r="AC42" s="171" t="s">
        <v>125</v>
      </c>
      <c r="AD42" s="171" t="s">
        <v>126</v>
      </c>
      <c r="AE42" s="171" t="s">
        <v>127</v>
      </c>
      <c r="AF42" s="171" t="s">
        <v>153</v>
      </c>
    </row>
    <row r="43" spans="1:32" x14ac:dyDescent="0.2">
      <c r="A43" s="149"/>
      <c r="B43" s="22">
        <v>1</v>
      </c>
      <c r="C43" s="23" t="s">
        <v>96</v>
      </c>
      <c r="D43" s="23" t="s">
        <v>187</v>
      </c>
      <c r="E43" s="173" t="s">
        <v>35</v>
      </c>
      <c r="F43" s="17">
        <v>-133891535.07992029</v>
      </c>
      <c r="G43" s="16">
        <v>0</v>
      </c>
      <c r="H43" s="16">
        <v>-48250000</v>
      </c>
      <c r="I43" s="16">
        <v>-48250000</v>
      </c>
      <c r="J43" s="16">
        <v>-48250000</v>
      </c>
      <c r="K43" s="16">
        <v>-48250000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108080000</v>
      </c>
    </row>
    <row r="44" spans="1:32" x14ac:dyDescent="0.2">
      <c r="A44" s="126"/>
      <c r="B44" s="22">
        <v>1</v>
      </c>
      <c r="C44" s="23" t="s">
        <v>96</v>
      </c>
      <c r="D44" s="23" t="s">
        <v>188</v>
      </c>
      <c r="E44" s="173" t="s">
        <v>35</v>
      </c>
      <c r="F44" s="17">
        <v>-12933329.750669001</v>
      </c>
      <c r="G44" s="16">
        <v>0</v>
      </c>
      <c r="H44" s="16">
        <v>-4500000</v>
      </c>
      <c r="I44" s="16">
        <v>-4500000</v>
      </c>
      <c r="J44" s="16">
        <v>-4500000</v>
      </c>
      <c r="K44" s="16">
        <v>-4500000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8100000</v>
      </c>
    </row>
    <row r="45" spans="1:32" x14ac:dyDescent="0.2">
      <c r="A45" s="126"/>
      <c r="B45" s="22">
        <v>2</v>
      </c>
      <c r="C45" s="23" t="s">
        <v>97</v>
      </c>
      <c r="D45" s="23" t="s">
        <v>187</v>
      </c>
      <c r="E45" s="173" t="s">
        <v>35</v>
      </c>
      <c r="F45" s="17">
        <v>-195634263.69190425</v>
      </c>
      <c r="G45" s="16">
        <v>0</v>
      </c>
      <c r="H45" s="16">
        <v>-70500000</v>
      </c>
      <c r="I45" s="16">
        <v>-70500000</v>
      </c>
      <c r="J45" s="16">
        <v>-70500000</v>
      </c>
      <c r="K45" s="16">
        <v>-70500000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157920000</v>
      </c>
    </row>
    <row r="46" spans="1:32" x14ac:dyDescent="0.2">
      <c r="A46" s="126"/>
      <c r="B46" s="22">
        <v>2</v>
      </c>
      <c r="C46" s="23" t="s">
        <v>97</v>
      </c>
      <c r="D46" s="23" t="s">
        <v>188</v>
      </c>
      <c r="E46" s="173" t="s">
        <v>35</v>
      </c>
      <c r="F46" s="17">
        <v>-15088884.709113834</v>
      </c>
      <c r="G46" s="16">
        <v>0</v>
      </c>
      <c r="H46" s="16">
        <v>-5250000</v>
      </c>
      <c r="I46" s="16">
        <v>-5250000</v>
      </c>
      <c r="J46" s="16">
        <v>-5250000</v>
      </c>
      <c r="K46" s="16">
        <v>-5250000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9450000</v>
      </c>
    </row>
    <row r="47" spans="1:32" x14ac:dyDescent="0.2">
      <c r="A47" s="126"/>
      <c r="B47" s="22">
        <v>3</v>
      </c>
      <c r="C47" s="23" t="s">
        <v>98</v>
      </c>
      <c r="D47" s="23" t="s">
        <v>187</v>
      </c>
      <c r="E47" s="173" t="s">
        <v>35</v>
      </c>
      <c r="F47" s="17">
        <v>-256683253.78015798</v>
      </c>
      <c r="G47" s="16">
        <v>0</v>
      </c>
      <c r="H47" s="16">
        <v>-92500000</v>
      </c>
      <c r="I47" s="16">
        <v>-92500000</v>
      </c>
      <c r="J47" s="16">
        <v>-92500000</v>
      </c>
      <c r="K47" s="16">
        <v>-92500000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207200000</v>
      </c>
    </row>
    <row r="48" spans="1:32" x14ac:dyDescent="0.2">
      <c r="A48" s="126"/>
      <c r="B48" s="22">
        <v>3</v>
      </c>
      <c r="C48" s="23" t="s">
        <v>98</v>
      </c>
      <c r="D48" s="23" t="s">
        <v>188</v>
      </c>
      <c r="E48" s="173" t="s">
        <v>35</v>
      </c>
      <c r="F48" s="17">
        <v>-16525921.348077057</v>
      </c>
      <c r="G48" s="16">
        <v>0</v>
      </c>
      <c r="H48" s="16">
        <v>-5750000</v>
      </c>
      <c r="I48" s="16">
        <v>-5750000</v>
      </c>
      <c r="J48" s="16">
        <v>-5750000</v>
      </c>
      <c r="K48" s="16">
        <v>-5750000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10350000</v>
      </c>
    </row>
    <row r="49" spans="1:32" x14ac:dyDescent="0.2">
      <c r="A49" s="126"/>
      <c r="B49" s="22">
        <v>4</v>
      </c>
      <c r="C49" s="23" t="s">
        <v>99</v>
      </c>
      <c r="D49" s="23" t="s">
        <v>189</v>
      </c>
      <c r="E49" s="173" t="s">
        <v>35</v>
      </c>
      <c r="F49" s="17">
        <v>-37359125.191602096</v>
      </c>
      <c r="G49" s="16">
        <v>0</v>
      </c>
      <c r="H49" s="16">
        <v>-16666666.666666666</v>
      </c>
      <c r="I49" s="16">
        <v>-16666666.666666666</v>
      </c>
      <c r="J49" s="16">
        <v>-16666666.666666666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21250000</v>
      </c>
    </row>
    <row r="50" spans="1:32" x14ac:dyDescent="0.2">
      <c r="A50" s="126"/>
      <c r="B50" s="22">
        <v>5</v>
      </c>
      <c r="C50" s="23" t="s">
        <v>100</v>
      </c>
      <c r="D50" s="23" t="s">
        <v>187</v>
      </c>
      <c r="E50" s="173" t="s">
        <v>35</v>
      </c>
      <c r="F50" s="17">
        <v>-133891535.07992029</v>
      </c>
      <c r="G50" s="16">
        <v>0</v>
      </c>
      <c r="H50" s="16">
        <v>-48250000</v>
      </c>
      <c r="I50" s="16">
        <v>-48250000</v>
      </c>
      <c r="J50" s="16">
        <v>-48250000</v>
      </c>
      <c r="K50" s="16">
        <v>-48250000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108080000</v>
      </c>
    </row>
    <row r="51" spans="1:32" x14ac:dyDescent="0.2">
      <c r="A51" s="126"/>
      <c r="B51" s="22">
        <v>5</v>
      </c>
      <c r="C51" s="23" t="s">
        <v>100</v>
      </c>
      <c r="D51" s="183" t="s">
        <v>188</v>
      </c>
      <c r="E51" s="173" t="s">
        <v>35</v>
      </c>
      <c r="F51" s="17">
        <v>-12933329.750669001</v>
      </c>
      <c r="G51" s="16">
        <v>0</v>
      </c>
      <c r="H51" s="16">
        <v>-4500000</v>
      </c>
      <c r="I51" s="16">
        <v>-4500000</v>
      </c>
      <c r="J51" s="16">
        <v>-4500000</v>
      </c>
      <c r="K51" s="16">
        <v>-4500000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8100000</v>
      </c>
    </row>
    <row r="52" spans="1:32" x14ac:dyDescent="0.2">
      <c r="A52" s="126"/>
      <c r="B52" s="22">
        <v>5</v>
      </c>
      <c r="C52" s="23" t="s">
        <v>100</v>
      </c>
      <c r="D52" s="183"/>
      <c r="E52" s="173" t="s">
        <v>35</v>
      </c>
      <c r="F52" s="17"/>
      <c r="G52" s="243" t="s">
        <v>240</v>
      </c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5"/>
    </row>
    <row r="53" spans="1:32" x14ac:dyDescent="0.2">
      <c r="A53" s="126"/>
      <c r="B53" s="22">
        <v>6</v>
      </c>
      <c r="C53" s="23" t="s">
        <v>174</v>
      </c>
      <c r="D53" s="183"/>
      <c r="E53" s="173" t="s">
        <v>35</v>
      </c>
      <c r="F53" s="17"/>
      <c r="G53" s="246" t="s">
        <v>240</v>
      </c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17"/>
    </row>
    <row r="54" spans="1:32" x14ac:dyDescent="0.2">
      <c r="A54" s="126"/>
      <c r="B54" s="22">
        <v>6</v>
      </c>
      <c r="C54" s="23" t="s">
        <v>174</v>
      </c>
      <c r="D54" s="183"/>
      <c r="E54" s="173" t="s">
        <v>35</v>
      </c>
      <c r="F54" s="17"/>
      <c r="G54" s="248" t="s">
        <v>240</v>
      </c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50"/>
    </row>
    <row r="55" spans="1:32" x14ac:dyDescent="0.2">
      <c r="B55" s="161"/>
      <c r="C55" s="165"/>
      <c r="D55" s="165"/>
      <c r="E55" s="161"/>
      <c r="F55" s="161"/>
    </row>
    <row r="56" spans="1:32" ht="15.75" x14ac:dyDescent="0.25">
      <c r="B56" s="166" t="s">
        <v>101</v>
      </c>
      <c r="C56" s="167"/>
      <c r="D56" s="167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</row>
    <row r="57" spans="1:32" ht="15.75" x14ac:dyDescent="0.25">
      <c r="B57" s="168" t="s">
        <v>14</v>
      </c>
      <c r="C57" s="169" t="s">
        <v>13</v>
      </c>
      <c r="D57" s="169"/>
      <c r="E57" s="170" t="s">
        <v>22</v>
      </c>
      <c r="F57" s="170" t="s">
        <v>37</v>
      </c>
      <c r="G57" s="171" t="s">
        <v>103</v>
      </c>
      <c r="H57" s="171" t="s">
        <v>104</v>
      </c>
      <c r="I57" s="171" t="s">
        <v>105</v>
      </c>
      <c r="J57" s="171" t="s">
        <v>106</v>
      </c>
      <c r="K57" s="171" t="s">
        <v>107</v>
      </c>
      <c r="L57" s="171" t="s">
        <v>108</v>
      </c>
      <c r="M57" s="171" t="s">
        <v>109</v>
      </c>
      <c r="N57" s="171" t="s">
        <v>110</v>
      </c>
      <c r="O57" s="171" t="s">
        <v>111</v>
      </c>
      <c r="P57" s="171" t="s">
        <v>112</v>
      </c>
      <c r="Q57" s="171" t="s">
        <v>113</v>
      </c>
      <c r="R57" s="171" t="s">
        <v>114</v>
      </c>
      <c r="S57" s="171" t="s">
        <v>115</v>
      </c>
      <c r="T57" s="171" t="s">
        <v>116</v>
      </c>
      <c r="U57" s="171" t="s">
        <v>117</v>
      </c>
      <c r="V57" s="171" t="s">
        <v>118</v>
      </c>
      <c r="W57" s="171" t="s">
        <v>119</v>
      </c>
      <c r="X57" s="171" t="s">
        <v>120</v>
      </c>
      <c r="Y57" s="171" t="s">
        <v>121</v>
      </c>
      <c r="Z57" s="171" t="s">
        <v>122</v>
      </c>
      <c r="AA57" s="171" t="s">
        <v>123</v>
      </c>
      <c r="AB57" s="171" t="s">
        <v>124</v>
      </c>
      <c r="AC57" s="171" t="s">
        <v>125</v>
      </c>
      <c r="AD57" s="171" t="s">
        <v>126</v>
      </c>
      <c r="AE57" s="171" t="s">
        <v>127</v>
      </c>
      <c r="AF57" s="171" t="s">
        <v>153</v>
      </c>
    </row>
    <row r="58" spans="1:32" x14ac:dyDescent="0.2">
      <c r="A58" s="149"/>
      <c r="B58" s="172">
        <v>1</v>
      </c>
      <c r="C58" s="13" t="s">
        <v>96</v>
      </c>
      <c r="D58" s="164"/>
      <c r="E58" s="173" t="s">
        <v>35</v>
      </c>
      <c r="F58" s="17">
        <v>-146824864.83058929</v>
      </c>
      <c r="G58" s="16">
        <v>0</v>
      </c>
      <c r="H58" s="16">
        <v>-52750000</v>
      </c>
      <c r="I58" s="16">
        <v>-52750000</v>
      </c>
      <c r="J58" s="16">
        <v>-52750000</v>
      </c>
      <c r="K58" s="16">
        <v>-52750000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116180000</v>
      </c>
    </row>
    <row r="59" spans="1:32" x14ac:dyDescent="0.2">
      <c r="A59" s="149"/>
      <c r="B59" s="172">
        <v>2</v>
      </c>
      <c r="C59" s="13" t="s">
        <v>97</v>
      </c>
      <c r="D59" s="164"/>
      <c r="E59" s="173" t="s">
        <v>35</v>
      </c>
      <c r="F59" s="17">
        <v>-210723148.40101808</v>
      </c>
      <c r="G59" s="16">
        <v>0</v>
      </c>
      <c r="H59" s="16">
        <v>-75750000</v>
      </c>
      <c r="I59" s="16">
        <v>-75750000</v>
      </c>
      <c r="J59" s="16">
        <v>-75750000</v>
      </c>
      <c r="K59" s="16">
        <v>-75750000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167370000</v>
      </c>
    </row>
    <row r="60" spans="1:32" x14ac:dyDescent="0.2">
      <c r="A60" s="149"/>
      <c r="B60" s="172">
        <v>3</v>
      </c>
      <c r="C60" s="13" t="s">
        <v>98</v>
      </c>
      <c r="D60" s="164"/>
      <c r="E60" s="173" t="s">
        <v>35</v>
      </c>
      <c r="F60" s="17">
        <v>-273209175.12823516</v>
      </c>
      <c r="G60" s="16">
        <v>0</v>
      </c>
      <c r="H60" s="16">
        <v>-98250000</v>
      </c>
      <c r="I60" s="16">
        <v>-98250000</v>
      </c>
      <c r="J60" s="16">
        <v>-98250000</v>
      </c>
      <c r="K60" s="16">
        <v>-98250000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217550000</v>
      </c>
    </row>
    <row r="61" spans="1:32" x14ac:dyDescent="0.2">
      <c r="A61" s="149"/>
      <c r="B61" s="172">
        <v>4</v>
      </c>
      <c r="C61" s="13" t="s">
        <v>99</v>
      </c>
      <c r="D61" s="164"/>
      <c r="E61" s="173" t="s">
        <v>35</v>
      </c>
      <c r="F61" s="17">
        <v>-37359125.191602096</v>
      </c>
      <c r="G61" s="16">
        <v>0</v>
      </c>
      <c r="H61" s="16">
        <v>-16666666.666666666</v>
      </c>
      <c r="I61" s="16">
        <v>-16666666.666666666</v>
      </c>
      <c r="J61" s="16">
        <v>-16666666.666666666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21250000</v>
      </c>
    </row>
    <row r="62" spans="1:32" x14ac:dyDescent="0.2">
      <c r="A62" s="149"/>
      <c r="B62" s="172">
        <v>5</v>
      </c>
      <c r="C62" s="13" t="s">
        <v>100</v>
      </c>
      <c r="D62" s="164"/>
      <c r="E62" s="173" t="s">
        <v>35</v>
      </c>
      <c r="F62" s="17"/>
      <c r="G62" s="16" t="s">
        <v>240</v>
      </c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x14ac:dyDescent="0.2">
      <c r="B63" s="172">
        <v>6</v>
      </c>
      <c r="C63" s="13" t="s">
        <v>174</v>
      </c>
      <c r="D63" s="164"/>
      <c r="E63" s="173" t="s">
        <v>35</v>
      </c>
      <c r="F63" s="17"/>
      <c r="G63" s="16" t="s">
        <v>240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x14ac:dyDescent="0.2">
      <c r="B64" s="161"/>
      <c r="C64" s="165"/>
      <c r="D64" s="165"/>
      <c r="E64" s="161"/>
      <c r="F64" s="126"/>
    </row>
    <row r="65" spans="1:32" ht="15.75" x14ac:dyDescent="0.25">
      <c r="B65" s="166" t="s">
        <v>203</v>
      </c>
      <c r="C65" s="167"/>
      <c r="D65" s="167"/>
      <c r="E65" s="10"/>
      <c r="F65" s="10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</row>
    <row r="66" spans="1:32" ht="15.75" x14ac:dyDescent="0.25">
      <c r="B66" s="168" t="s">
        <v>14</v>
      </c>
      <c r="C66" s="169" t="s">
        <v>13</v>
      </c>
      <c r="D66" s="169"/>
      <c r="E66" s="170" t="s">
        <v>22</v>
      </c>
      <c r="F66" s="170" t="s">
        <v>37</v>
      </c>
      <c r="G66" s="171" t="s">
        <v>103</v>
      </c>
      <c r="H66" s="171" t="s">
        <v>104</v>
      </c>
      <c r="I66" s="171" t="s">
        <v>105</v>
      </c>
      <c r="J66" s="171" t="s">
        <v>106</v>
      </c>
      <c r="K66" s="171" t="s">
        <v>107</v>
      </c>
      <c r="L66" s="171" t="s">
        <v>108</v>
      </c>
      <c r="M66" s="171" t="s">
        <v>109</v>
      </c>
      <c r="N66" s="171" t="s">
        <v>110</v>
      </c>
      <c r="O66" s="171" t="s">
        <v>111</v>
      </c>
      <c r="P66" s="171" t="s">
        <v>112</v>
      </c>
      <c r="Q66" s="171" t="s">
        <v>113</v>
      </c>
      <c r="R66" s="171" t="s">
        <v>114</v>
      </c>
      <c r="S66" s="171" t="s">
        <v>115</v>
      </c>
      <c r="T66" s="171" t="s">
        <v>116</v>
      </c>
      <c r="U66" s="171" t="s">
        <v>117</v>
      </c>
      <c r="V66" s="171" t="s">
        <v>118</v>
      </c>
      <c r="W66" s="171" t="s">
        <v>119</v>
      </c>
      <c r="X66" s="171" t="s">
        <v>120</v>
      </c>
      <c r="Y66" s="171" t="s">
        <v>121</v>
      </c>
      <c r="Z66" s="171" t="s">
        <v>122</v>
      </c>
      <c r="AA66" s="171" t="s">
        <v>123</v>
      </c>
      <c r="AB66" s="171" t="s">
        <v>124</v>
      </c>
      <c r="AC66" s="171" t="s">
        <v>125</v>
      </c>
      <c r="AD66" s="171" t="s">
        <v>126</v>
      </c>
      <c r="AE66" s="171" t="s">
        <v>127</v>
      </c>
      <c r="AF66" s="171" t="s">
        <v>153</v>
      </c>
    </row>
    <row r="67" spans="1:32" x14ac:dyDescent="0.2">
      <c r="A67" s="149"/>
      <c r="B67" s="172">
        <v>1</v>
      </c>
      <c r="C67" s="13" t="s">
        <v>96</v>
      </c>
      <c r="D67" s="164"/>
      <c r="E67" s="173" t="s">
        <v>35</v>
      </c>
      <c r="F67" s="17">
        <v>-20378268.720397383</v>
      </c>
      <c r="G67" s="16">
        <v>0</v>
      </c>
      <c r="H67" s="16">
        <v>0</v>
      </c>
      <c r="I67" s="16">
        <v>0</v>
      </c>
      <c r="J67" s="16">
        <v>0</v>
      </c>
      <c r="K67" s="16">
        <v>-2110000</v>
      </c>
      <c r="L67" s="16">
        <v>-2110000</v>
      </c>
      <c r="M67" s="16">
        <v>-2110000</v>
      </c>
      <c r="N67" s="16">
        <v>-2110000</v>
      </c>
      <c r="O67" s="16">
        <v>-2110000</v>
      </c>
      <c r="P67" s="16">
        <v>-2110000</v>
      </c>
      <c r="Q67" s="16">
        <v>-2110000</v>
      </c>
      <c r="R67" s="16">
        <v>-2110000</v>
      </c>
      <c r="S67" s="16">
        <v>-2110000</v>
      </c>
      <c r="T67" s="16">
        <v>-2110000</v>
      </c>
      <c r="U67" s="16">
        <v>-2110000</v>
      </c>
      <c r="V67" s="16">
        <v>-2110000</v>
      </c>
      <c r="W67" s="16">
        <v>-2110000</v>
      </c>
      <c r="X67" s="16">
        <v>-2110000</v>
      </c>
      <c r="Y67" s="16">
        <v>-2110000</v>
      </c>
      <c r="Z67" s="16">
        <v>-2110000</v>
      </c>
      <c r="AA67" s="16">
        <v>-2110000</v>
      </c>
      <c r="AB67" s="16">
        <v>-2110000</v>
      </c>
      <c r="AC67" s="16">
        <v>-2110000</v>
      </c>
      <c r="AD67" s="16">
        <v>-2110000</v>
      </c>
      <c r="AE67" s="16">
        <v>-2110000</v>
      </c>
      <c r="AF67" s="16">
        <v>-2110000</v>
      </c>
    </row>
    <row r="68" spans="1:32" x14ac:dyDescent="0.2">
      <c r="A68" s="149"/>
      <c r="B68" s="172">
        <v>2</v>
      </c>
      <c r="C68" s="13" t="s">
        <v>97</v>
      </c>
      <c r="D68" s="164"/>
      <c r="E68" s="173" t="s">
        <v>35</v>
      </c>
      <c r="F68" s="17">
        <v>-29263580.200381078</v>
      </c>
      <c r="G68" s="16">
        <v>0</v>
      </c>
      <c r="H68" s="16">
        <v>0</v>
      </c>
      <c r="I68" s="16">
        <v>0</v>
      </c>
      <c r="J68" s="16">
        <v>0</v>
      </c>
      <c r="K68" s="16">
        <v>-3030000</v>
      </c>
      <c r="L68" s="16">
        <v>-3030000</v>
      </c>
      <c r="M68" s="16">
        <v>-3030000</v>
      </c>
      <c r="N68" s="16">
        <v>-3030000</v>
      </c>
      <c r="O68" s="16">
        <v>-3030000</v>
      </c>
      <c r="P68" s="16">
        <v>-3030000</v>
      </c>
      <c r="Q68" s="16">
        <v>-3030000</v>
      </c>
      <c r="R68" s="16">
        <v>-3030000</v>
      </c>
      <c r="S68" s="16">
        <v>-3030000</v>
      </c>
      <c r="T68" s="16">
        <v>-3030000</v>
      </c>
      <c r="U68" s="16">
        <v>-3030000</v>
      </c>
      <c r="V68" s="16">
        <v>-3030000</v>
      </c>
      <c r="W68" s="16">
        <v>-3030000</v>
      </c>
      <c r="X68" s="16">
        <v>-3030000</v>
      </c>
      <c r="Y68" s="16">
        <v>-3030000</v>
      </c>
      <c r="Z68" s="16">
        <v>-3030000</v>
      </c>
      <c r="AA68" s="16">
        <v>-3030000</v>
      </c>
      <c r="AB68" s="16">
        <v>-3030000</v>
      </c>
      <c r="AC68" s="16">
        <v>-3030000</v>
      </c>
      <c r="AD68" s="16">
        <v>-3030000</v>
      </c>
      <c r="AE68" s="16">
        <v>-3030000</v>
      </c>
      <c r="AF68" s="16">
        <v>-3030000</v>
      </c>
    </row>
    <row r="69" spans="1:32" x14ac:dyDescent="0.2">
      <c r="A69" s="149"/>
      <c r="B69" s="172">
        <v>3</v>
      </c>
      <c r="C69" s="13" t="s">
        <v>98</v>
      </c>
      <c r="D69" s="164"/>
      <c r="E69" s="173" t="s">
        <v>35</v>
      </c>
      <c r="F69" s="17">
        <v>-37955732.735147744</v>
      </c>
      <c r="G69" s="16">
        <v>0</v>
      </c>
      <c r="H69" s="16">
        <v>0</v>
      </c>
      <c r="I69" s="16">
        <v>0</v>
      </c>
      <c r="J69" s="16">
        <v>0</v>
      </c>
      <c r="K69" s="16">
        <v>-3930000</v>
      </c>
      <c r="L69" s="16">
        <v>-3930000</v>
      </c>
      <c r="M69" s="16">
        <v>-3930000</v>
      </c>
      <c r="N69" s="16">
        <v>-3930000</v>
      </c>
      <c r="O69" s="16">
        <v>-3930000</v>
      </c>
      <c r="P69" s="16">
        <v>-3930000</v>
      </c>
      <c r="Q69" s="16">
        <v>-3930000</v>
      </c>
      <c r="R69" s="16">
        <v>-3930000</v>
      </c>
      <c r="S69" s="16">
        <v>-3930000</v>
      </c>
      <c r="T69" s="16">
        <v>-3930000</v>
      </c>
      <c r="U69" s="16">
        <v>-3930000</v>
      </c>
      <c r="V69" s="16">
        <v>-3930000</v>
      </c>
      <c r="W69" s="16">
        <v>-3930000</v>
      </c>
      <c r="X69" s="16">
        <v>-3930000</v>
      </c>
      <c r="Y69" s="16">
        <v>-3930000</v>
      </c>
      <c r="Z69" s="16">
        <v>-3930000</v>
      </c>
      <c r="AA69" s="16">
        <v>-3930000</v>
      </c>
      <c r="AB69" s="16">
        <v>-3930000</v>
      </c>
      <c r="AC69" s="16">
        <v>-3930000</v>
      </c>
      <c r="AD69" s="16">
        <v>-3930000</v>
      </c>
      <c r="AE69" s="16">
        <v>-3930000</v>
      </c>
      <c r="AF69" s="16">
        <v>-3930000</v>
      </c>
    </row>
    <row r="70" spans="1:32" x14ac:dyDescent="0.2">
      <c r="A70" s="149"/>
      <c r="B70" s="172">
        <v>4</v>
      </c>
      <c r="C70" s="13" t="s">
        <v>99</v>
      </c>
      <c r="D70" s="164"/>
      <c r="E70" s="173" t="s">
        <v>35</v>
      </c>
      <c r="F70" s="17">
        <v>-5226518.5098549332</v>
      </c>
      <c r="G70" s="16">
        <v>0</v>
      </c>
      <c r="H70" s="16">
        <v>0</v>
      </c>
      <c r="I70" s="16">
        <v>0</v>
      </c>
      <c r="J70" s="16">
        <v>-500000</v>
      </c>
      <c r="K70" s="16">
        <v>-500000</v>
      </c>
      <c r="L70" s="16">
        <v>-500000</v>
      </c>
      <c r="M70" s="16">
        <v>-500000</v>
      </c>
      <c r="N70" s="16">
        <v>-500000</v>
      </c>
      <c r="O70" s="16">
        <v>-500000</v>
      </c>
      <c r="P70" s="16">
        <v>-500000</v>
      </c>
      <c r="Q70" s="16">
        <v>-500000</v>
      </c>
      <c r="R70" s="16">
        <v>-500000</v>
      </c>
      <c r="S70" s="16">
        <v>-500000</v>
      </c>
      <c r="T70" s="16">
        <v>-500000</v>
      </c>
      <c r="U70" s="16">
        <v>-500000</v>
      </c>
      <c r="V70" s="16">
        <v>-500000</v>
      </c>
      <c r="W70" s="16">
        <v>-500000</v>
      </c>
      <c r="X70" s="16">
        <v>-500000</v>
      </c>
      <c r="Y70" s="16">
        <v>-500000</v>
      </c>
      <c r="Z70" s="16">
        <v>-500000</v>
      </c>
      <c r="AA70" s="16">
        <v>-500000</v>
      </c>
      <c r="AB70" s="16">
        <v>-500000</v>
      </c>
      <c r="AC70" s="16">
        <v>-500000</v>
      </c>
      <c r="AD70" s="16">
        <v>-500000</v>
      </c>
      <c r="AE70" s="16">
        <v>-500000</v>
      </c>
      <c r="AF70" s="16">
        <v>-500000</v>
      </c>
    </row>
    <row r="71" spans="1:32" x14ac:dyDescent="0.2">
      <c r="A71" s="149"/>
      <c r="B71" s="172">
        <v>5</v>
      </c>
      <c r="C71" s="13" t="s">
        <v>100</v>
      </c>
      <c r="D71" s="164"/>
      <c r="E71" s="173" t="s">
        <v>35</v>
      </c>
      <c r="F71" s="17"/>
      <c r="G71" s="16" t="s">
        <v>240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1:32" x14ac:dyDescent="0.2">
      <c r="B72" s="172">
        <v>6</v>
      </c>
      <c r="C72" s="13" t="s">
        <v>174</v>
      </c>
      <c r="D72" s="164"/>
      <c r="E72" s="173" t="s">
        <v>35</v>
      </c>
      <c r="F72" s="17"/>
      <c r="G72" s="16" t="s">
        <v>240</v>
      </c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1:32" x14ac:dyDescent="0.2">
      <c r="B73" s="161"/>
      <c r="C73" s="165"/>
      <c r="D73" s="165"/>
      <c r="E73" s="161"/>
      <c r="F73" s="126"/>
      <c r="H73" s="126"/>
      <c r="I73" s="126"/>
    </row>
    <row r="74" spans="1:32" ht="15.75" x14ac:dyDescent="0.25">
      <c r="B74" s="57" t="s">
        <v>190</v>
      </c>
      <c r="C74" s="57"/>
      <c r="D74" s="57"/>
      <c r="E74" s="66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</row>
    <row r="75" spans="1:32" ht="15.75" x14ac:dyDescent="0.25">
      <c r="B75" s="58" t="s">
        <v>14</v>
      </c>
      <c r="C75" s="58" t="s">
        <v>13</v>
      </c>
      <c r="D75" s="58"/>
      <c r="E75" s="62" t="s">
        <v>7</v>
      </c>
      <c r="F75" s="62" t="s">
        <v>37</v>
      </c>
      <c r="G75" s="171" t="s">
        <v>103</v>
      </c>
      <c r="H75" s="171" t="s">
        <v>104</v>
      </c>
      <c r="I75" s="171" t="s">
        <v>105</v>
      </c>
      <c r="J75" s="171" t="s">
        <v>106</v>
      </c>
      <c r="K75" s="171" t="s">
        <v>107</v>
      </c>
      <c r="L75" s="171" t="s">
        <v>108</v>
      </c>
      <c r="M75" s="171" t="s">
        <v>109</v>
      </c>
      <c r="N75" s="171" t="s">
        <v>110</v>
      </c>
      <c r="O75" s="171" t="s">
        <v>111</v>
      </c>
      <c r="P75" s="171" t="s">
        <v>112</v>
      </c>
      <c r="Q75" s="171" t="s">
        <v>113</v>
      </c>
      <c r="R75" s="171" t="s">
        <v>114</v>
      </c>
      <c r="S75" s="171" t="s">
        <v>115</v>
      </c>
      <c r="T75" s="171" t="s">
        <v>116</v>
      </c>
      <c r="U75" s="171" t="s">
        <v>117</v>
      </c>
      <c r="V75" s="171" t="s">
        <v>118</v>
      </c>
      <c r="W75" s="171" t="s">
        <v>119</v>
      </c>
      <c r="X75" s="171" t="s">
        <v>120</v>
      </c>
      <c r="Y75" s="171" t="s">
        <v>121</v>
      </c>
      <c r="Z75" s="171" t="s">
        <v>122</v>
      </c>
      <c r="AA75" s="171" t="s">
        <v>123</v>
      </c>
      <c r="AB75" s="171" t="s">
        <v>124</v>
      </c>
      <c r="AC75" s="171" t="s">
        <v>125</v>
      </c>
      <c r="AD75" s="171" t="s">
        <v>126</v>
      </c>
      <c r="AE75" s="171" t="s">
        <v>127</v>
      </c>
      <c r="AF75" s="171" t="s">
        <v>153</v>
      </c>
    </row>
    <row r="76" spans="1:32" x14ac:dyDescent="0.2">
      <c r="B76" s="172">
        <v>1</v>
      </c>
      <c r="C76" s="115" t="s">
        <v>96</v>
      </c>
      <c r="D76" s="61"/>
      <c r="E76" s="67" t="s">
        <v>35</v>
      </c>
      <c r="F76" s="17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</row>
    <row r="77" spans="1:32" x14ac:dyDescent="0.2">
      <c r="B77" s="172">
        <v>2</v>
      </c>
      <c r="C77" s="115" t="s">
        <v>97</v>
      </c>
      <c r="D77" s="61"/>
      <c r="E77" s="67" t="s">
        <v>35</v>
      </c>
      <c r="F77" s="17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</row>
    <row r="78" spans="1:32" x14ac:dyDescent="0.2">
      <c r="B78" s="172">
        <v>3</v>
      </c>
      <c r="C78" s="115" t="s">
        <v>98</v>
      </c>
      <c r="D78" s="61"/>
      <c r="E78" s="67" t="s">
        <v>35</v>
      </c>
      <c r="F78" s="17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</row>
    <row r="79" spans="1:32" x14ac:dyDescent="0.2">
      <c r="B79" s="172">
        <v>4</v>
      </c>
      <c r="C79" s="115" t="s">
        <v>99</v>
      </c>
      <c r="D79" s="61"/>
      <c r="E79" s="67" t="s">
        <v>35</v>
      </c>
      <c r="F79" s="17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</row>
    <row r="80" spans="1:32" x14ac:dyDescent="0.2">
      <c r="B80" s="172">
        <v>5</v>
      </c>
      <c r="C80" s="115" t="s">
        <v>100</v>
      </c>
      <c r="D80" s="61"/>
      <c r="E80" s="67" t="s">
        <v>35</v>
      </c>
      <c r="F80" s="17"/>
      <c r="G80" s="16" t="s">
        <v>240</v>
      </c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</row>
    <row r="81" spans="1:32" x14ac:dyDescent="0.2">
      <c r="B81" s="172">
        <v>6</v>
      </c>
      <c r="C81" s="115" t="s">
        <v>174</v>
      </c>
      <c r="D81" s="61"/>
      <c r="E81" s="67" t="s">
        <v>35</v>
      </c>
      <c r="F81" s="17"/>
      <c r="G81" s="16" t="s">
        <v>240</v>
      </c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</row>
    <row r="83" spans="1:32" ht="21" x14ac:dyDescent="0.35">
      <c r="B83" s="162" t="s">
        <v>51</v>
      </c>
      <c r="C83" s="163"/>
      <c r="D83" s="163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</row>
    <row r="84" spans="1:32" x14ac:dyDescent="0.2">
      <c r="B84" s="161"/>
      <c r="C84" s="165"/>
      <c r="D84" s="165"/>
      <c r="E84" s="161"/>
      <c r="F84" s="161"/>
    </row>
    <row r="85" spans="1:32" ht="15.75" x14ac:dyDescent="0.25">
      <c r="B85" s="166" t="s">
        <v>66</v>
      </c>
      <c r="C85" s="167"/>
      <c r="D85" s="167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</row>
    <row r="86" spans="1:32" ht="15.75" x14ac:dyDescent="0.25">
      <c r="B86" s="168" t="s">
        <v>14</v>
      </c>
      <c r="C86" s="169" t="s">
        <v>13</v>
      </c>
      <c r="D86" s="169"/>
      <c r="E86" s="170" t="s">
        <v>22</v>
      </c>
      <c r="F86" s="170" t="s">
        <v>37</v>
      </c>
      <c r="G86" s="171" t="s">
        <v>103</v>
      </c>
      <c r="H86" s="171" t="s">
        <v>104</v>
      </c>
      <c r="I86" s="171" t="s">
        <v>105</v>
      </c>
      <c r="J86" s="171" t="s">
        <v>106</v>
      </c>
      <c r="K86" s="171" t="s">
        <v>107</v>
      </c>
      <c r="L86" s="171" t="s">
        <v>108</v>
      </c>
      <c r="M86" s="171" t="s">
        <v>109</v>
      </c>
      <c r="N86" s="171" t="s">
        <v>110</v>
      </c>
      <c r="O86" s="171" t="s">
        <v>111</v>
      </c>
      <c r="P86" s="171" t="s">
        <v>112</v>
      </c>
      <c r="Q86" s="171" t="s">
        <v>113</v>
      </c>
      <c r="R86" s="171" t="s">
        <v>114</v>
      </c>
      <c r="S86" s="171" t="s">
        <v>115</v>
      </c>
      <c r="T86" s="171" t="s">
        <v>116</v>
      </c>
      <c r="U86" s="171" t="s">
        <v>117</v>
      </c>
      <c r="V86" s="171" t="s">
        <v>118</v>
      </c>
      <c r="W86" s="171" t="s">
        <v>119</v>
      </c>
      <c r="X86" s="171" t="s">
        <v>120</v>
      </c>
      <c r="Y86" s="171" t="s">
        <v>121</v>
      </c>
      <c r="Z86" s="171" t="s">
        <v>122</v>
      </c>
      <c r="AA86" s="171" t="s">
        <v>123</v>
      </c>
      <c r="AB86" s="171" t="s">
        <v>124</v>
      </c>
      <c r="AC86" s="171" t="s">
        <v>125</v>
      </c>
      <c r="AD86" s="171" t="s">
        <v>126</v>
      </c>
      <c r="AE86" s="171" t="s">
        <v>127</v>
      </c>
      <c r="AF86" s="171" t="s">
        <v>153</v>
      </c>
    </row>
    <row r="87" spans="1:32" x14ac:dyDescent="0.2">
      <c r="A87" s="149"/>
      <c r="B87" s="172">
        <v>1</v>
      </c>
      <c r="C87" s="13" t="s">
        <v>96</v>
      </c>
      <c r="D87" s="164"/>
      <c r="E87" s="173" t="s">
        <v>35</v>
      </c>
      <c r="F87" s="17">
        <v>-19856251.963678077</v>
      </c>
      <c r="G87" s="16">
        <v>0</v>
      </c>
      <c r="H87" s="16">
        <v>-51.804689586162567</v>
      </c>
      <c r="I87" s="16">
        <v>19.546184004963266</v>
      </c>
      <c r="J87" s="16">
        <v>-9366286.6031391025</v>
      </c>
      <c r="K87" s="16">
        <v>-19398563.314196467</v>
      </c>
      <c r="L87" s="16">
        <v>23.255857646519473</v>
      </c>
      <c r="M87" s="16">
        <v>-1228796.6466970481</v>
      </c>
      <c r="N87" s="16">
        <v>26.227612315099122</v>
      </c>
      <c r="O87" s="16">
        <v>27.715768252725468</v>
      </c>
      <c r="P87" s="16">
        <v>29.437445017058508</v>
      </c>
      <c r="Q87" s="16">
        <v>31.23111664057609</v>
      </c>
      <c r="R87" s="16">
        <v>33.221222803989576</v>
      </c>
      <c r="S87" s="16">
        <v>35.100752785493796</v>
      </c>
      <c r="T87" s="16">
        <v>37.213608537390542</v>
      </c>
      <c r="U87" s="16">
        <v>39.455781200167507</v>
      </c>
      <c r="V87" s="16">
        <v>2929788.6854042523</v>
      </c>
      <c r="W87" s="16">
        <v>-294.48529752809554</v>
      </c>
      <c r="X87" s="16">
        <v>-447310.41373350471</v>
      </c>
      <c r="Y87" s="16">
        <v>53.203579751168945</v>
      </c>
      <c r="Z87" s="16">
        <v>1674828.9039899907</v>
      </c>
      <c r="AA87" s="16">
        <v>2027120.5962915905</v>
      </c>
      <c r="AB87" s="16">
        <v>-2814060.5660481788</v>
      </c>
      <c r="AC87" s="16">
        <v>1434618.0213209218</v>
      </c>
      <c r="AD87" s="16">
        <v>145090.63650557026</v>
      </c>
      <c r="AE87" s="16">
        <v>5192496.116176188</v>
      </c>
      <c r="AF87" s="16">
        <v>-160042.13073415845</v>
      </c>
    </row>
    <row r="88" spans="1:32" x14ac:dyDescent="0.2">
      <c r="A88" s="149"/>
      <c r="B88" s="172">
        <v>2</v>
      </c>
      <c r="C88" s="13" t="s">
        <v>97</v>
      </c>
      <c r="D88" s="164"/>
      <c r="E88" s="173" t="s">
        <v>35</v>
      </c>
      <c r="F88" s="17">
        <v>-19856251.963678077</v>
      </c>
      <c r="G88" s="16">
        <v>0</v>
      </c>
      <c r="H88" s="16">
        <v>-51.804689586162567</v>
      </c>
      <c r="I88" s="16">
        <v>19.546184004963266</v>
      </c>
      <c r="J88" s="16">
        <v>-9366286.6031391025</v>
      </c>
      <c r="K88" s="16">
        <v>-19398563.314196467</v>
      </c>
      <c r="L88" s="16">
        <v>23.255857646519473</v>
      </c>
      <c r="M88" s="16">
        <v>-1228796.6466970481</v>
      </c>
      <c r="N88" s="16">
        <v>26.227612315099122</v>
      </c>
      <c r="O88" s="16">
        <v>27.715768252725468</v>
      </c>
      <c r="P88" s="16">
        <v>29.437445017058508</v>
      </c>
      <c r="Q88" s="16">
        <v>31.23111664057609</v>
      </c>
      <c r="R88" s="16">
        <v>33.221222803989576</v>
      </c>
      <c r="S88" s="16">
        <v>35.100752785493796</v>
      </c>
      <c r="T88" s="16">
        <v>37.213608537390542</v>
      </c>
      <c r="U88" s="16">
        <v>39.455781200167507</v>
      </c>
      <c r="V88" s="16">
        <v>2929788.6854042523</v>
      </c>
      <c r="W88" s="16">
        <v>-294.48529752809554</v>
      </c>
      <c r="X88" s="16">
        <v>-447310.41373350471</v>
      </c>
      <c r="Y88" s="16">
        <v>53.203579751168945</v>
      </c>
      <c r="Z88" s="16">
        <v>1674828.9039899907</v>
      </c>
      <c r="AA88" s="16">
        <v>2027120.5962915905</v>
      </c>
      <c r="AB88" s="16">
        <v>-2814060.5660481788</v>
      </c>
      <c r="AC88" s="16">
        <v>1434618.0213209218</v>
      </c>
      <c r="AD88" s="16">
        <v>145090.63650557026</v>
      </c>
      <c r="AE88" s="16">
        <v>5192496.116176188</v>
      </c>
      <c r="AF88" s="16">
        <v>-160042.13073415845</v>
      </c>
    </row>
    <row r="89" spans="1:32" x14ac:dyDescent="0.2">
      <c r="A89" s="149"/>
      <c r="B89" s="172">
        <v>3</v>
      </c>
      <c r="C89" s="13" t="s">
        <v>98</v>
      </c>
      <c r="D89" s="164"/>
      <c r="E89" s="173" t="s">
        <v>35</v>
      </c>
      <c r="F89" s="17">
        <v>-20100781.827335086</v>
      </c>
      <c r="G89" s="16">
        <v>0</v>
      </c>
      <c r="H89" s="16">
        <v>-292.30651488155127</v>
      </c>
      <c r="I89" s="16">
        <v>209.98699943975544</v>
      </c>
      <c r="J89" s="16">
        <v>-9366634.9365566969</v>
      </c>
      <c r="K89" s="16">
        <v>-19401266.145163655</v>
      </c>
      <c r="L89" s="16">
        <v>249.36625986481565</v>
      </c>
      <c r="M89" s="16">
        <v>-1229015.9177051894</v>
      </c>
      <c r="N89" s="16">
        <v>280.40295888356133</v>
      </c>
      <c r="O89" s="16">
        <v>296.10037219050741</v>
      </c>
      <c r="P89" s="16">
        <v>313.56363978403476</v>
      </c>
      <c r="Q89" s="16">
        <v>332.06124557572457</v>
      </c>
      <c r="R89" s="16">
        <v>352.56786199602448</v>
      </c>
      <c r="S89" s="16">
        <v>372.37740181676349</v>
      </c>
      <c r="T89" s="16">
        <v>394.33534323494916</v>
      </c>
      <c r="U89" s="16">
        <v>417.57056006665715</v>
      </c>
      <c r="V89" s="16">
        <v>3021230.3302930165</v>
      </c>
      <c r="W89" s="16">
        <v>-429.61724922247231</v>
      </c>
      <c r="X89" s="16">
        <v>-662850.97261211276</v>
      </c>
      <c r="Y89" s="16">
        <v>528.85091041513147</v>
      </c>
      <c r="Z89" s="16">
        <v>1675381.6176766844</v>
      </c>
      <c r="AA89" s="16">
        <v>2089557.5260653105</v>
      </c>
      <c r="AB89" s="16">
        <v>-3003641.7293530293</v>
      </c>
      <c r="AC89" s="16">
        <v>1366663.9906982181</v>
      </c>
      <c r="AD89" s="16">
        <v>212024.28110832348</v>
      </c>
      <c r="AE89" s="16">
        <v>4486815.2677845657</v>
      </c>
      <c r="AF89" s="16">
        <v>-155100.67078335141</v>
      </c>
    </row>
    <row r="90" spans="1:32" x14ac:dyDescent="0.2">
      <c r="A90" s="149"/>
      <c r="B90" s="172">
        <v>4</v>
      </c>
      <c r="C90" s="13" t="s">
        <v>99</v>
      </c>
      <c r="D90" s="164"/>
      <c r="E90" s="173" t="s">
        <v>35</v>
      </c>
      <c r="F90" s="17">
        <v>-12208232.654280009</v>
      </c>
      <c r="G90" s="16">
        <v>0</v>
      </c>
      <c r="H90" s="16">
        <v>-273.23249894380569</v>
      </c>
      <c r="I90" s="16">
        <v>195.47239289930704</v>
      </c>
      <c r="J90" s="16">
        <v>-4631312.370234549</v>
      </c>
      <c r="K90" s="16">
        <v>-10709415.262581229</v>
      </c>
      <c r="L90" s="16">
        <v>232.12761246652934</v>
      </c>
      <c r="M90" s="16">
        <v>-678684.4340775907</v>
      </c>
      <c r="N90" s="16">
        <v>261.02277618448522</v>
      </c>
      <c r="O90" s="16">
        <v>275.63828670465364</v>
      </c>
      <c r="P90" s="16">
        <v>291.891080270261</v>
      </c>
      <c r="Q90" s="16">
        <v>309.11181517027717</v>
      </c>
      <c r="R90" s="16">
        <v>328.20146034969366</v>
      </c>
      <c r="S90" s="16">
        <v>346.64319201641115</v>
      </c>
      <c r="T90" s="16">
        <v>367.08464800802597</v>
      </c>
      <c r="U90" s="16">
        <v>388.7146233555705</v>
      </c>
      <c r="V90" s="16">
        <v>861.99395287036896</v>
      </c>
      <c r="W90" s="16">
        <v>-336.8483574250713</v>
      </c>
      <c r="X90" s="16">
        <v>12004.530517354608</v>
      </c>
      <c r="Y90" s="16">
        <v>492.53304754301956</v>
      </c>
      <c r="Z90" s="16">
        <v>-155110.51939823292</v>
      </c>
      <c r="AA90" s="16">
        <v>89280.05192842707</v>
      </c>
      <c r="AB90" s="16">
        <v>-168037.00205476582</v>
      </c>
      <c r="AC90" s="16">
        <v>192856.11297361739</v>
      </c>
      <c r="AD90" s="16">
        <v>-64261.567370977253</v>
      </c>
      <c r="AE90" s="16">
        <v>29978.444467455149</v>
      </c>
      <c r="AF90" s="16">
        <v>-42101.377875916194</v>
      </c>
    </row>
    <row r="91" spans="1:32" x14ac:dyDescent="0.2">
      <c r="A91" s="149"/>
      <c r="B91" s="172">
        <v>5</v>
      </c>
      <c r="C91" s="13" t="s">
        <v>100</v>
      </c>
      <c r="D91" s="164"/>
      <c r="E91" s="173" t="s">
        <v>35</v>
      </c>
      <c r="F91" s="17"/>
      <c r="G91" s="16" t="s">
        <v>240</v>
      </c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x14ac:dyDescent="0.2">
      <c r="A92" s="149"/>
      <c r="B92" s="172">
        <v>6</v>
      </c>
      <c r="C92" s="13" t="s">
        <v>174</v>
      </c>
      <c r="D92" s="164"/>
      <c r="E92" s="173" t="s">
        <v>35</v>
      </c>
      <c r="F92" s="17"/>
      <c r="G92" s="16" t="s">
        <v>240</v>
      </c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x14ac:dyDescent="0.2">
      <c r="B93" s="161"/>
      <c r="C93" s="165"/>
      <c r="D93" s="165"/>
      <c r="E93" s="161"/>
      <c r="F93" s="126"/>
    </row>
    <row r="94" spans="1:32" ht="15.75" x14ac:dyDescent="0.25">
      <c r="B94" s="166" t="s">
        <v>60</v>
      </c>
      <c r="C94" s="167"/>
      <c r="D94" s="167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</row>
    <row r="95" spans="1:32" ht="15.75" x14ac:dyDescent="0.25">
      <c r="B95" s="168" t="s">
        <v>14</v>
      </c>
      <c r="C95" s="169" t="s">
        <v>13</v>
      </c>
      <c r="D95" s="169"/>
      <c r="E95" s="170" t="s">
        <v>22</v>
      </c>
      <c r="F95" s="170" t="s">
        <v>37</v>
      </c>
      <c r="G95" s="171" t="s">
        <v>103</v>
      </c>
      <c r="H95" s="171" t="s">
        <v>104</v>
      </c>
      <c r="I95" s="171" t="s">
        <v>105</v>
      </c>
      <c r="J95" s="171" t="s">
        <v>106</v>
      </c>
      <c r="K95" s="171" t="s">
        <v>107</v>
      </c>
      <c r="L95" s="171" t="s">
        <v>108</v>
      </c>
      <c r="M95" s="171" t="s">
        <v>109</v>
      </c>
      <c r="N95" s="171" t="s">
        <v>110</v>
      </c>
      <c r="O95" s="171" t="s">
        <v>111</v>
      </c>
      <c r="P95" s="171" t="s">
        <v>112</v>
      </c>
      <c r="Q95" s="171" t="s">
        <v>113</v>
      </c>
      <c r="R95" s="171" t="s">
        <v>114</v>
      </c>
      <c r="S95" s="171" t="s">
        <v>115</v>
      </c>
      <c r="T95" s="171" t="s">
        <v>116</v>
      </c>
      <c r="U95" s="171" t="s">
        <v>117</v>
      </c>
      <c r="V95" s="171" t="s">
        <v>118</v>
      </c>
      <c r="W95" s="171" t="s">
        <v>119</v>
      </c>
      <c r="X95" s="171" t="s">
        <v>120</v>
      </c>
      <c r="Y95" s="171" t="s">
        <v>121</v>
      </c>
      <c r="Z95" s="171" t="s">
        <v>122</v>
      </c>
      <c r="AA95" s="171" t="s">
        <v>123</v>
      </c>
      <c r="AB95" s="171" t="s">
        <v>124</v>
      </c>
      <c r="AC95" s="171" t="s">
        <v>125</v>
      </c>
      <c r="AD95" s="171" t="s">
        <v>126</v>
      </c>
      <c r="AE95" s="171" t="s">
        <v>127</v>
      </c>
      <c r="AF95" s="171" t="s">
        <v>153</v>
      </c>
    </row>
    <row r="96" spans="1:32" x14ac:dyDescent="0.2">
      <c r="B96" s="172">
        <v>1</v>
      </c>
      <c r="C96" s="13" t="s">
        <v>96</v>
      </c>
      <c r="D96" s="164"/>
      <c r="E96" s="173" t="s">
        <v>35</v>
      </c>
      <c r="F96" s="17">
        <v>8038612.5118296929</v>
      </c>
      <c r="G96" s="16">
        <v>0</v>
      </c>
      <c r="H96" s="16">
        <v>9.7341358440448857</v>
      </c>
      <c r="I96" s="16">
        <v>121.03172493291936</v>
      </c>
      <c r="J96" s="16">
        <v>39.053564786552727</v>
      </c>
      <c r="K96" s="16">
        <v>-23.864615256800505</v>
      </c>
      <c r="L96" s="16">
        <v>-17.765332803897707</v>
      </c>
      <c r="M96" s="16">
        <v>-9.6594069891867491</v>
      </c>
      <c r="N96" s="16">
        <v>13.060476887866258</v>
      </c>
      <c r="O96" s="16">
        <v>-46105.992523670197</v>
      </c>
      <c r="P96" s="16">
        <v>8.8211868015314252</v>
      </c>
      <c r="Q96" s="16">
        <v>-21.467473847270895</v>
      </c>
      <c r="R96" s="16">
        <v>-15.526063036280902</v>
      </c>
      <c r="S96" s="16">
        <v>24.10262769953647</v>
      </c>
      <c r="T96" s="16">
        <v>7.3326837137939265</v>
      </c>
      <c r="U96" s="16">
        <v>-15.388876433218172</v>
      </c>
      <c r="V96" s="16">
        <v>96.282077869175737</v>
      </c>
      <c r="W96" s="16">
        <v>36.624684091133076</v>
      </c>
      <c r="X96" s="16">
        <v>27855387.835261196</v>
      </c>
      <c r="Y96" s="16">
        <v>231.58150969318342</v>
      </c>
      <c r="Z96" s="16">
        <v>17.407537399232694</v>
      </c>
      <c r="AA96" s="16">
        <v>18000382.101433948</v>
      </c>
      <c r="AB96" s="16">
        <v>-6147401.3304953873</v>
      </c>
      <c r="AC96" s="16">
        <v>-11292618.916521728</v>
      </c>
      <c r="AD96" s="16">
        <v>-6158385.7506695325</v>
      </c>
      <c r="AE96" s="16">
        <v>-661669.79595703632</v>
      </c>
      <c r="AF96" s="16">
        <v>-3482551.3295172453</v>
      </c>
    </row>
    <row r="97" spans="2:32" x14ac:dyDescent="0.2">
      <c r="B97" s="172">
        <v>2</v>
      </c>
      <c r="C97" s="13" t="s">
        <v>97</v>
      </c>
      <c r="D97" s="164"/>
      <c r="E97" s="173" t="s">
        <v>35</v>
      </c>
      <c r="F97" s="17">
        <v>8038612.5118296929</v>
      </c>
      <c r="G97" s="16">
        <v>0</v>
      </c>
      <c r="H97" s="16">
        <v>9.7341358440448857</v>
      </c>
      <c r="I97" s="16">
        <v>121.03172493291936</v>
      </c>
      <c r="J97" s="16">
        <v>39.053564786552727</v>
      </c>
      <c r="K97" s="16">
        <v>-23.864615256800505</v>
      </c>
      <c r="L97" s="16">
        <v>-17.765332803897707</v>
      </c>
      <c r="M97" s="16">
        <v>-9.6594069891867491</v>
      </c>
      <c r="N97" s="16">
        <v>13.060476887866258</v>
      </c>
      <c r="O97" s="16">
        <v>-46105.992523670197</v>
      </c>
      <c r="P97" s="16">
        <v>8.8211868015314252</v>
      </c>
      <c r="Q97" s="16">
        <v>-21.467473847270895</v>
      </c>
      <c r="R97" s="16">
        <v>-15.526063036280902</v>
      </c>
      <c r="S97" s="16">
        <v>24.10262769953647</v>
      </c>
      <c r="T97" s="16">
        <v>7.3326837137939265</v>
      </c>
      <c r="U97" s="16">
        <v>-15.388876433218172</v>
      </c>
      <c r="V97" s="16">
        <v>96.282077869175737</v>
      </c>
      <c r="W97" s="16">
        <v>36.624684091133076</v>
      </c>
      <c r="X97" s="16">
        <v>27855387.835261196</v>
      </c>
      <c r="Y97" s="16">
        <v>231.58150969318342</v>
      </c>
      <c r="Z97" s="16">
        <v>17.407537399232694</v>
      </c>
      <c r="AA97" s="16">
        <v>18000382.101433948</v>
      </c>
      <c r="AB97" s="16">
        <v>-6147401.3304953873</v>
      </c>
      <c r="AC97" s="16">
        <v>-11292618.916521728</v>
      </c>
      <c r="AD97" s="16">
        <v>-6158385.7506695325</v>
      </c>
      <c r="AE97" s="16">
        <v>-661669.79595703632</v>
      </c>
      <c r="AF97" s="16">
        <v>-3482551.3295172453</v>
      </c>
    </row>
    <row r="98" spans="2:32" x14ac:dyDescent="0.2">
      <c r="B98" s="172">
        <v>3</v>
      </c>
      <c r="C98" s="13" t="s">
        <v>98</v>
      </c>
      <c r="D98" s="164"/>
      <c r="E98" s="173" t="s">
        <v>35</v>
      </c>
      <c r="F98" s="17">
        <v>8326569.5652338024</v>
      </c>
      <c r="G98" s="16">
        <v>0</v>
      </c>
      <c r="H98" s="16">
        <v>492.91932727500102</v>
      </c>
      <c r="I98" s="16">
        <v>1301.5132001328343</v>
      </c>
      <c r="J98" s="16">
        <v>206.60582342556333</v>
      </c>
      <c r="K98" s="16">
        <v>74.153941228666014</v>
      </c>
      <c r="L98" s="16">
        <v>72.001737806393862</v>
      </c>
      <c r="M98" s="16">
        <v>103.57650317880257</v>
      </c>
      <c r="N98" s="16">
        <v>81.26300453089118</v>
      </c>
      <c r="O98" s="16">
        <v>-45042.942430302501</v>
      </c>
      <c r="P98" s="16">
        <v>92.0496999684988</v>
      </c>
      <c r="Q98" s="16">
        <v>74.14272094417602</v>
      </c>
      <c r="R98" s="16">
        <v>219.02399587362689</v>
      </c>
      <c r="S98" s="16">
        <v>193.31644416780432</v>
      </c>
      <c r="T98" s="16">
        <v>113.31662237204763</v>
      </c>
      <c r="U98" s="16">
        <v>278.52285029931591</v>
      </c>
      <c r="V98" s="16">
        <v>679.05956904095478</v>
      </c>
      <c r="W98" s="16">
        <v>721.11909055329534</v>
      </c>
      <c r="X98" s="16">
        <v>29246982.029078454</v>
      </c>
      <c r="Y98" s="16">
        <v>591.85281854187269</v>
      </c>
      <c r="Z98" s="16">
        <v>188.37542124360186</v>
      </c>
      <c r="AA98" s="16">
        <v>18066091.19454594</v>
      </c>
      <c r="AB98" s="16">
        <v>-7025558.7733430564</v>
      </c>
      <c r="AC98" s="16">
        <v>-11432333.277885765</v>
      </c>
      <c r="AD98" s="16">
        <v>-5874353.8718737671</v>
      </c>
      <c r="AE98" s="16">
        <v>-692318.54486040771</v>
      </c>
      <c r="AF98" s="16">
        <v>-3524685.1691917796</v>
      </c>
    </row>
    <row r="99" spans="2:32" x14ac:dyDescent="0.2">
      <c r="B99" s="172">
        <v>4</v>
      </c>
      <c r="C99" s="13" t="s">
        <v>99</v>
      </c>
      <c r="D99" s="164"/>
      <c r="E99" s="173" t="s">
        <v>35</v>
      </c>
      <c r="F99" s="17">
        <v>1029659.3231873555</v>
      </c>
      <c r="G99" s="16">
        <v>0</v>
      </c>
      <c r="H99" s="16">
        <v>451.5970559608881</v>
      </c>
      <c r="I99" s="16">
        <v>1208.6918293880628</v>
      </c>
      <c r="J99" s="16">
        <v>205.02784799198537</v>
      </c>
      <c r="K99" s="16">
        <v>61.86209255136351</v>
      </c>
      <c r="L99" s="16">
        <v>70.316856226784807</v>
      </c>
      <c r="M99" s="16">
        <v>99.200372888095572</v>
      </c>
      <c r="N99" s="16">
        <v>74.066510085569732</v>
      </c>
      <c r="O99" s="16">
        <v>-1906.8493121825159</v>
      </c>
      <c r="P99" s="16">
        <v>81.655833976578933</v>
      </c>
      <c r="Q99" s="16">
        <v>67.950691844271162</v>
      </c>
      <c r="R99" s="16">
        <v>203.72872763013851</v>
      </c>
      <c r="S99" s="16">
        <v>178.81346208227779</v>
      </c>
      <c r="T99" s="16">
        <v>107.78879126673256</v>
      </c>
      <c r="U99" s="16">
        <v>268.80831955114149</v>
      </c>
      <c r="V99" s="16">
        <v>621.73658514701106</v>
      </c>
      <c r="W99" s="16">
        <v>716.4866129361252</v>
      </c>
      <c r="X99" s="16">
        <v>3094565.0217624009</v>
      </c>
      <c r="Y99" s="16">
        <v>483.03197326292928</v>
      </c>
      <c r="Z99" s="16">
        <v>167.50568197590138</v>
      </c>
      <c r="AA99" s="16">
        <v>1547359.2754461765</v>
      </c>
      <c r="AB99" s="16">
        <v>-118513.31257706881</v>
      </c>
      <c r="AC99" s="16">
        <v>-434482.61633768678</v>
      </c>
      <c r="AD99" s="16">
        <v>-982151.41081015486</v>
      </c>
      <c r="AE99" s="16">
        <v>-155487.82995035499</v>
      </c>
      <c r="AF99" s="16">
        <v>-462258.00255548209</v>
      </c>
    </row>
    <row r="100" spans="2:32" x14ac:dyDescent="0.2">
      <c r="B100" s="172">
        <v>5</v>
      </c>
      <c r="C100" s="13" t="s">
        <v>100</v>
      </c>
      <c r="D100" s="164"/>
      <c r="E100" s="173" t="s">
        <v>35</v>
      </c>
      <c r="F100" s="17"/>
      <c r="G100" s="16" t="s">
        <v>240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2:32" x14ac:dyDescent="0.2">
      <c r="B101" s="172">
        <v>6</v>
      </c>
      <c r="C101" s="13" t="s">
        <v>174</v>
      </c>
      <c r="D101" s="164"/>
      <c r="E101" s="173" t="s">
        <v>35</v>
      </c>
      <c r="F101" s="17"/>
      <c r="G101" s="16" t="s">
        <v>240</v>
      </c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2:32" x14ac:dyDescent="0.2">
      <c r="B102" s="161"/>
      <c r="C102" s="165"/>
      <c r="D102" s="165"/>
      <c r="E102" s="161"/>
      <c r="F102" s="126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</row>
    <row r="103" spans="2:32" ht="15.75" x14ac:dyDescent="0.25">
      <c r="B103" s="166" t="s">
        <v>27</v>
      </c>
      <c r="C103" s="167"/>
      <c r="D103" s="167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</row>
    <row r="104" spans="2:32" ht="15.75" x14ac:dyDescent="0.25">
      <c r="B104" s="168" t="s">
        <v>14</v>
      </c>
      <c r="C104" s="169" t="s">
        <v>13</v>
      </c>
      <c r="D104" s="169"/>
      <c r="E104" s="170" t="s">
        <v>22</v>
      </c>
      <c r="F104" s="170" t="s">
        <v>37</v>
      </c>
      <c r="G104" s="171" t="s">
        <v>103</v>
      </c>
      <c r="H104" s="171" t="s">
        <v>104</v>
      </c>
      <c r="I104" s="171" t="s">
        <v>105</v>
      </c>
      <c r="J104" s="171" t="s">
        <v>106</v>
      </c>
      <c r="K104" s="171" t="s">
        <v>107</v>
      </c>
      <c r="L104" s="171" t="s">
        <v>108</v>
      </c>
      <c r="M104" s="171" t="s">
        <v>109</v>
      </c>
      <c r="N104" s="171" t="s">
        <v>110</v>
      </c>
      <c r="O104" s="171" t="s">
        <v>111</v>
      </c>
      <c r="P104" s="171" t="s">
        <v>112</v>
      </c>
      <c r="Q104" s="171" t="s">
        <v>113</v>
      </c>
      <c r="R104" s="171" t="s">
        <v>114</v>
      </c>
      <c r="S104" s="171" t="s">
        <v>115</v>
      </c>
      <c r="T104" s="171" t="s">
        <v>116</v>
      </c>
      <c r="U104" s="171" t="s">
        <v>117</v>
      </c>
      <c r="V104" s="171" t="s">
        <v>118</v>
      </c>
      <c r="W104" s="171" t="s">
        <v>119</v>
      </c>
      <c r="X104" s="171" t="s">
        <v>120</v>
      </c>
      <c r="Y104" s="171" t="s">
        <v>121</v>
      </c>
      <c r="Z104" s="171" t="s">
        <v>122</v>
      </c>
      <c r="AA104" s="171" t="s">
        <v>123</v>
      </c>
      <c r="AB104" s="171" t="s">
        <v>124</v>
      </c>
      <c r="AC104" s="171" t="s">
        <v>125</v>
      </c>
      <c r="AD104" s="171" t="s">
        <v>126</v>
      </c>
      <c r="AE104" s="171" t="s">
        <v>127</v>
      </c>
      <c r="AF104" s="171" t="s">
        <v>153</v>
      </c>
    </row>
    <row r="105" spans="2:32" x14ac:dyDescent="0.2">
      <c r="B105" s="172">
        <v>1</v>
      </c>
      <c r="C105" s="13" t="s">
        <v>96</v>
      </c>
      <c r="D105" s="164"/>
      <c r="E105" s="173" t="s">
        <v>35</v>
      </c>
      <c r="F105" s="17">
        <v>134222861.37765524</v>
      </c>
      <c r="G105" s="16">
        <v>0</v>
      </c>
      <c r="H105" s="16">
        <v>726.41882944107056</v>
      </c>
      <c r="I105" s="16">
        <v>677.20430374145508</v>
      </c>
      <c r="J105" s="16">
        <v>-3354298.0997581482</v>
      </c>
      <c r="K105" s="16">
        <v>5798310.9963989258</v>
      </c>
      <c r="L105" s="16">
        <v>13251165.849104404</v>
      </c>
      <c r="M105" s="16">
        <v>20947126.133390665</v>
      </c>
      <c r="N105" s="16">
        <v>20661042.073640108</v>
      </c>
      <c r="O105" s="16">
        <v>23655580.606750488</v>
      </c>
      <c r="P105" s="16">
        <v>16956682.632928848</v>
      </c>
      <c r="Q105" s="16">
        <v>18436960.357868671</v>
      </c>
      <c r="R105" s="16">
        <v>22345078.342627764</v>
      </c>
      <c r="S105" s="16">
        <v>22554124.676076889</v>
      </c>
      <c r="T105" s="16">
        <v>21077146.700309992</v>
      </c>
      <c r="U105" s="16">
        <v>20029158.389633417</v>
      </c>
      <c r="V105" s="16">
        <v>11037936.904639482</v>
      </c>
      <c r="W105" s="16">
        <v>14183080.298088789</v>
      </c>
      <c r="X105" s="16">
        <v>6101539.8032300472</v>
      </c>
      <c r="Y105" s="16">
        <v>6319038.8478207588</v>
      </c>
      <c r="Z105" s="16">
        <v>-9304899.9415400028</v>
      </c>
      <c r="AA105" s="16">
        <v>-3302133.8291506767</v>
      </c>
      <c r="AB105" s="16">
        <v>-1893947.4226543903</v>
      </c>
      <c r="AC105" s="16">
        <v>10733712.999598503</v>
      </c>
      <c r="AD105" s="16">
        <v>9586803.84314394</v>
      </c>
      <c r="AE105" s="16">
        <v>11242082.944423676</v>
      </c>
      <c r="AF105" s="16">
        <v>22852579.851716518</v>
      </c>
    </row>
    <row r="106" spans="2:32" x14ac:dyDescent="0.2">
      <c r="B106" s="172">
        <v>2</v>
      </c>
      <c r="C106" s="13" t="s">
        <v>97</v>
      </c>
      <c r="D106" s="164"/>
      <c r="E106" s="173" t="s">
        <v>35</v>
      </c>
      <c r="F106" s="17">
        <v>134222861.37765524</v>
      </c>
      <c r="G106" s="16">
        <v>0</v>
      </c>
      <c r="H106" s="16">
        <v>726.41882944107056</v>
      </c>
      <c r="I106" s="16">
        <v>677.20430374145508</v>
      </c>
      <c r="J106" s="16">
        <v>-3354298.0997581482</v>
      </c>
      <c r="K106" s="16">
        <v>5798310.9963989258</v>
      </c>
      <c r="L106" s="16">
        <v>13251165.849104404</v>
      </c>
      <c r="M106" s="16">
        <v>20947126.133390665</v>
      </c>
      <c r="N106" s="16">
        <v>20661042.073640108</v>
      </c>
      <c r="O106" s="16">
        <v>23655580.606750488</v>
      </c>
      <c r="P106" s="16">
        <v>16956682.632928848</v>
      </c>
      <c r="Q106" s="16">
        <v>18436960.357868671</v>
      </c>
      <c r="R106" s="16">
        <v>22345078.342627764</v>
      </c>
      <c r="S106" s="16">
        <v>22554124.676076889</v>
      </c>
      <c r="T106" s="16">
        <v>21077146.700309992</v>
      </c>
      <c r="U106" s="16">
        <v>20029158.389633417</v>
      </c>
      <c r="V106" s="16">
        <v>11037936.904639482</v>
      </c>
      <c r="W106" s="16">
        <v>14183080.298088789</v>
      </c>
      <c r="X106" s="16">
        <v>6101539.8032300472</v>
      </c>
      <c r="Y106" s="16">
        <v>6319038.8478207588</v>
      </c>
      <c r="Z106" s="16">
        <v>-9304899.9415400028</v>
      </c>
      <c r="AA106" s="16">
        <v>-3302133.8291506767</v>
      </c>
      <c r="AB106" s="16">
        <v>-1893947.4226543903</v>
      </c>
      <c r="AC106" s="16">
        <v>10733712.999598503</v>
      </c>
      <c r="AD106" s="16">
        <v>9586803.84314394</v>
      </c>
      <c r="AE106" s="16">
        <v>11242082.944423676</v>
      </c>
      <c r="AF106" s="16">
        <v>22852579.851716518</v>
      </c>
    </row>
    <row r="107" spans="2:32" x14ac:dyDescent="0.2">
      <c r="B107" s="172">
        <v>3</v>
      </c>
      <c r="C107" s="13" t="s">
        <v>98</v>
      </c>
      <c r="D107" s="164"/>
      <c r="E107" s="173" t="s">
        <v>35</v>
      </c>
      <c r="F107" s="17">
        <v>141324537.98773795</v>
      </c>
      <c r="G107" s="16">
        <v>0</v>
      </c>
      <c r="H107" s="16">
        <v>5413.8750433921814</v>
      </c>
      <c r="I107" s="16">
        <v>5011.2695879936218</v>
      </c>
      <c r="J107" s="16">
        <v>-3348105.9620635509</v>
      </c>
      <c r="K107" s="16">
        <v>6119519.6610794067</v>
      </c>
      <c r="L107" s="16">
        <v>13990062.182354689</v>
      </c>
      <c r="M107" s="16">
        <v>21943890.394834757</v>
      </c>
      <c r="N107" s="16">
        <v>21677997.988111973</v>
      </c>
      <c r="O107" s="16">
        <v>24560084.534761667</v>
      </c>
      <c r="P107" s="16">
        <v>17561762.910791874</v>
      </c>
      <c r="Q107" s="16">
        <v>19226567.463236094</v>
      </c>
      <c r="R107" s="16">
        <v>23003172.449346542</v>
      </c>
      <c r="S107" s="16">
        <v>23599245.012182713</v>
      </c>
      <c r="T107" s="16">
        <v>22103828.872139454</v>
      </c>
      <c r="U107" s="16">
        <v>21011369.643603086</v>
      </c>
      <c r="V107" s="16">
        <v>11515794.914684772</v>
      </c>
      <c r="W107" s="16">
        <v>14761984.007902384</v>
      </c>
      <c r="X107" s="16">
        <v>6219351.9030544758</v>
      </c>
      <c r="Y107" s="16">
        <v>6819562.2425060272</v>
      </c>
      <c r="Z107" s="16">
        <v>-9395996.4732942581</v>
      </c>
      <c r="AA107" s="16">
        <v>-2557319.3816003799</v>
      </c>
      <c r="AB107" s="16">
        <v>-177243.90045261383</v>
      </c>
      <c r="AC107" s="16">
        <v>11720766.373994827</v>
      </c>
      <c r="AD107" s="16">
        <v>9885113.2212076187</v>
      </c>
      <c r="AE107" s="16">
        <v>11886904.096969604</v>
      </c>
      <c r="AF107" s="16">
        <v>23810236.408488035</v>
      </c>
    </row>
    <row r="108" spans="2:32" x14ac:dyDescent="0.2">
      <c r="B108" s="172">
        <v>4</v>
      </c>
      <c r="C108" s="13" t="s">
        <v>99</v>
      </c>
      <c r="D108" s="164"/>
      <c r="E108" s="173" t="s">
        <v>35</v>
      </c>
      <c r="F108" s="17">
        <v>10683417.907392381</v>
      </c>
      <c r="G108" s="16">
        <v>0</v>
      </c>
      <c r="H108" s="16">
        <v>5063.270405292511</v>
      </c>
      <c r="I108" s="16">
        <v>4713.3770587444305</v>
      </c>
      <c r="J108" s="16">
        <v>-228648.76733589172</v>
      </c>
      <c r="K108" s="16">
        <v>742198.85130357742</v>
      </c>
      <c r="L108" s="16">
        <v>799648.9789249897</v>
      </c>
      <c r="M108" s="16">
        <v>1191140.212072134</v>
      </c>
      <c r="N108" s="16">
        <v>1133013.3763709068</v>
      </c>
      <c r="O108" s="16">
        <v>1089091.4325983524</v>
      </c>
      <c r="P108" s="16">
        <v>861314.58147406578</v>
      </c>
      <c r="Q108" s="16">
        <v>866967.08076858521</v>
      </c>
      <c r="R108" s="16">
        <v>1134413.6273825169</v>
      </c>
      <c r="S108" s="16">
        <v>1184090.9643619061</v>
      </c>
      <c r="T108" s="16">
        <v>904022.28383898735</v>
      </c>
      <c r="U108" s="16">
        <v>888248.33411717415</v>
      </c>
      <c r="V108" s="16">
        <v>2677483.279589653</v>
      </c>
      <c r="W108" s="16">
        <v>3011000.6697461605</v>
      </c>
      <c r="X108" s="16">
        <v>-552961.78090167046</v>
      </c>
      <c r="Y108" s="16">
        <v>1432395.660615921</v>
      </c>
      <c r="Z108" s="16">
        <v>-175922.74975061417</v>
      </c>
      <c r="AA108" s="16">
        <v>-188680.88874697685</v>
      </c>
      <c r="AB108" s="16">
        <v>807120.50231552124</v>
      </c>
      <c r="AC108" s="16">
        <v>1880941.3994970322</v>
      </c>
      <c r="AD108" s="16">
        <v>1397156.3590817451</v>
      </c>
      <c r="AE108" s="16">
        <v>1937336.6977658272</v>
      </c>
      <c r="AF108" s="16">
        <v>3474537.4396114349</v>
      </c>
    </row>
    <row r="109" spans="2:32" x14ac:dyDescent="0.2">
      <c r="B109" s="172">
        <v>5</v>
      </c>
      <c r="C109" s="13" t="s">
        <v>100</v>
      </c>
      <c r="D109" s="164"/>
      <c r="E109" s="173" t="s">
        <v>35</v>
      </c>
      <c r="F109" s="17"/>
      <c r="G109" s="16" t="s">
        <v>240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2:32" x14ac:dyDescent="0.2">
      <c r="B110" s="172">
        <v>6</v>
      </c>
      <c r="C110" s="13" t="s">
        <v>174</v>
      </c>
      <c r="D110" s="164"/>
      <c r="E110" s="173" t="s">
        <v>35</v>
      </c>
      <c r="F110" s="17"/>
      <c r="G110" s="16" t="s">
        <v>240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2:32" x14ac:dyDescent="0.2">
      <c r="B111" s="161"/>
      <c r="C111" s="165"/>
      <c r="D111" s="165"/>
      <c r="E111" s="161"/>
      <c r="F111" s="126"/>
    </row>
    <row r="112" spans="2:32" ht="15.75" x14ac:dyDescent="0.25">
      <c r="B112" s="166" t="s">
        <v>29</v>
      </c>
      <c r="C112" s="167"/>
      <c r="D112" s="167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</row>
    <row r="113" spans="2:32" ht="15.75" x14ac:dyDescent="0.25">
      <c r="B113" s="168" t="s">
        <v>14</v>
      </c>
      <c r="C113" s="169" t="s">
        <v>13</v>
      </c>
      <c r="D113" s="169"/>
      <c r="E113" s="170" t="s">
        <v>22</v>
      </c>
      <c r="F113" s="170" t="s">
        <v>37</v>
      </c>
      <c r="G113" s="171" t="s">
        <v>103</v>
      </c>
      <c r="H113" s="171" t="s">
        <v>104</v>
      </c>
      <c r="I113" s="171" t="s">
        <v>105</v>
      </c>
      <c r="J113" s="171" t="s">
        <v>106</v>
      </c>
      <c r="K113" s="171" t="s">
        <v>107</v>
      </c>
      <c r="L113" s="171" t="s">
        <v>108</v>
      </c>
      <c r="M113" s="171" t="s">
        <v>109</v>
      </c>
      <c r="N113" s="171" t="s">
        <v>110</v>
      </c>
      <c r="O113" s="171" t="s">
        <v>111</v>
      </c>
      <c r="P113" s="171" t="s">
        <v>112</v>
      </c>
      <c r="Q113" s="171" t="s">
        <v>113</v>
      </c>
      <c r="R113" s="171" t="s">
        <v>114</v>
      </c>
      <c r="S113" s="171" t="s">
        <v>115</v>
      </c>
      <c r="T113" s="171" t="s">
        <v>116</v>
      </c>
      <c r="U113" s="171" t="s">
        <v>117</v>
      </c>
      <c r="V113" s="171" t="s">
        <v>118</v>
      </c>
      <c r="W113" s="171" t="s">
        <v>119</v>
      </c>
      <c r="X113" s="171" t="s">
        <v>120</v>
      </c>
      <c r="Y113" s="171" t="s">
        <v>121</v>
      </c>
      <c r="Z113" s="171" t="s">
        <v>122</v>
      </c>
      <c r="AA113" s="171" t="s">
        <v>123</v>
      </c>
      <c r="AB113" s="171" t="s">
        <v>124</v>
      </c>
      <c r="AC113" s="171" t="s">
        <v>125</v>
      </c>
      <c r="AD113" s="171" t="s">
        <v>126</v>
      </c>
      <c r="AE113" s="171" t="s">
        <v>127</v>
      </c>
      <c r="AF113" s="171" t="s">
        <v>153</v>
      </c>
    </row>
    <row r="114" spans="2:32" x14ac:dyDescent="0.2">
      <c r="B114" s="172">
        <v>1</v>
      </c>
      <c r="C114" s="13" t="s">
        <v>96</v>
      </c>
      <c r="D114" s="164"/>
      <c r="E114" s="173" t="s">
        <v>35</v>
      </c>
      <c r="F114" s="17">
        <v>417523.28273750289</v>
      </c>
      <c r="G114" s="16">
        <v>0</v>
      </c>
      <c r="H114" s="16">
        <v>97.634370648884214</v>
      </c>
      <c r="I114" s="16">
        <v>102.37999929562648</v>
      </c>
      <c r="J114" s="16">
        <v>-23160.136715190951</v>
      </c>
      <c r="K114" s="16">
        <v>-62118.359064002056</v>
      </c>
      <c r="L114" s="16">
        <v>122.75405197847886</v>
      </c>
      <c r="M114" s="16">
        <v>-89620.47942749405</v>
      </c>
      <c r="N114" s="16">
        <v>138.40026244569458</v>
      </c>
      <c r="O114" s="16">
        <v>144.53932386361953</v>
      </c>
      <c r="P114" s="16">
        <v>155.18172612118769</v>
      </c>
      <c r="Q114" s="16">
        <v>164.65586181512708</v>
      </c>
      <c r="R114" s="16">
        <v>174.93904532191777</v>
      </c>
      <c r="S114" s="16">
        <v>-3982.9037785814839</v>
      </c>
      <c r="T114" s="16">
        <v>197.01732607325403</v>
      </c>
      <c r="U114" s="16">
        <v>694.43910060547023</v>
      </c>
      <c r="V114" s="16">
        <v>269013.31848652381</v>
      </c>
      <c r="W114" s="16">
        <v>55356.493493098766</v>
      </c>
      <c r="X114" s="16">
        <v>1326285.3482784033</v>
      </c>
      <c r="Y114" s="16">
        <v>77979.271720265504</v>
      </c>
      <c r="Z114" s="16">
        <v>-349996.03393775085</v>
      </c>
      <c r="AA114" s="16">
        <v>-129424.55673238263</v>
      </c>
      <c r="AB114" s="16">
        <v>-52399.352001175284</v>
      </c>
      <c r="AC114" s="16">
        <v>215045.49196324497</v>
      </c>
      <c r="AD114" s="16">
        <v>90109.184661813546</v>
      </c>
      <c r="AE114" s="16">
        <v>95135.406102623791</v>
      </c>
      <c r="AF114" s="16">
        <v>-97548.410721592605</v>
      </c>
    </row>
    <row r="115" spans="2:32" x14ac:dyDescent="0.2">
      <c r="B115" s="172">
        <v>2</v>
      </c>
      <c r="C115" s="13" t="s">
        <v>97</v>
      </c>
      <c r="D115" s="164"/>
      <c r="E115" s="173" t="s">
        <v>35</v>
      </c>
      <c r="F115" s="17">
        <v>417523.28273750289</v>
      </c>
      <c r="G115" s="16">
        <v>0</v>
      </c>
      <c r="H115" s="16">
        <v>97.634370648884214</v>
      </c>
      <c r="I115" s="16">
        <v>102.37999929562648</v>
      </c>
      <c r="J115" s="16">
        <v>-23160.136715190951</v>
      </c>
      <c r="K115" s="16">
        <v>-62118.359064002056</v>
      </c>
      <c r="L115" s="16">
        <v>122.75405197847886</v>
      </c>
      <c r="M115" s="16">
        <v>-89620.47942749405</v>
      </c>
      <c r="N115" s="16">
        <v>138.40026244569458</v>
      </c>
      <c r="O115" s="16">
        <v>144.53932386361953</v>
      </c>
      <c r="P115" s="16">
        <v>155.18172612118769</v>
      </c>
      <c r="Q115" s="16">
        <v>164.65586181512708</v>
      </c>
      <c r="R115" s="16">
        <v>174.93904532191777</v>
      </c>
      <c r="S115" s="16">
        <v>-3982.9037785814839</v>
      </c>
      <c r="T115" s="16">
        <v>197.01732607325403</v>
      </c>
      <c r="U115" s="16">
        <v>694.43910060547023</v>
      </c>
      <c r="V115" s="16">
        <v>269013.31848652381</v>
      </c>
      <c r="W115" s="16">
        <v>55356.493493098766</v>
      </c>
      <c r="X115" s="16">
        <v>1326285.3482784033</v>
      </c>
      <c r="Y115" s="16">
        <v>77979.271720265504</v>
      </c>
      <c r="Z115" s="16">
        <v>-349996.03393775085</v>
      </c>
      <c r="AA115" s="16">
        <v>-129424.55673238263</v>
      </c>
      <c r="AB115" s="16">
        <v>-52399.352001175284</v>
      </c>
      <c r="AC115" s="16">
        <v>215045.49196324497</v>
      </c>
      <c r="AD115" s="16">
        <v>90109.184661813546</v>
      </c>
      <c r="AE115" s="16">
        <v>95135.406102623791</v>
      </c>
      <c r="AF115" s="16">
        <v>-97548.410721592605</v>
      </c>
    </row>
    <row r="116" spans="2:32" x14ac:dyDescent="0.2">
      <c r="B116" s="172">
        <v>3</v>
      </c>
      <c r="C116" s="13" t="s">
        <v>98</v>
      </c>
      <c r="D116" s="164"/>
      <c r="E116" s="173" t="s">
        <v>35</v>
      </c>
      <c r="F116" s="17">
        <v>383810.07894850592</v>
      </c>
      <c r="G116" s="16">
        <v>0</v>
      </c>
      <c r="H116" s="16">
        <v>770.0938979620114</v>
      </c>
      <c r="I116" s="16">
        <v>805.15505654852859</v>
      </c>
      <c r="J116" s="16">
        <v>-22408.066590732429</v>
      </c>
      <c r="K116" s="16">
        <v>-61373.44596505817</v>
      </c>
      <c r="L116" s="16">
        <v>957.92998427613168</v>
      </c>
      <c r="M116" s="16">
        <v>-88738.214997467352</v>
      </c>
      <c r="N116" s="16">
        <v>1074.4353103218257</v>
      </c>
      <c r="O116" s="16">
        <v>1128.5188932224246</v>
      </c>
      <c r="P116" s="16">
        <v>1194.3402099887785</v>
      </c>
      <c r="Q116" s="16">
        <v>1267.0852851876271</v>
      </c>
      <c r="R116" s="16">
        <v>1339.9317903640272</v>
      </c>
      <c r="S116" s="16">
        <v>-2747.7181122358975</v>
      </c>
      <c r="T116" s="16">
        <v>1506.589372746656</v>
      </c>
      <c r="U116" s="16">
        <v>2502.9273479634485</v>
      </c>
      <c r="V116" s="16">
        <v>271855.83221306093</v>
      </c>
      <c r="W116" s="16">
        <v>71230.390680576675</v>
      </c>
      <c r="X116" s="16">
        <v>1270851.676909931</v>
      </c>
      <c r="Y116" s="16">
        <v>27477.513114575529</v>
      </c>
      <c r="Z116" s="16">
        <v>-426275.10287756287</v>
      </c>
      <c r="AA116" s="16">
        <v>-94399.465250873938</v>
      </c>
      <c r="AB116" s="16">
        <v>-46675.788758857176</v>
      </c>
      <c r="AC116" s="16">
        <v>273876.19883813709</v>
      </c>
      <c r="AD116" s="16">
        <v>103862.08177547576</v>
      </c>
      <c r="AE116" s="16">
        <v>32048.881716414355</v>
      </c>
      <c r="AF116" s="16">
        <v>-117777.5327813495</v>
      </c>
    </row>
    <row r="117" spans="2:32" x14ac:dyDescent="0.2">
      <c r="B117" s="172">
        <v>4</v>
      </c>
      <c r="C117" s="13" t="s">
        <v>99</v>
      </c>
      <c r="D117" s="164"/>
      <c r="E117" s="173" t="s">
        <v>35</v>
      </c>
      <c r="F117" s="17">
        <v>-89900.262532394525</v>
      </c>
      <c r="G117" s="16">
        <v>0</v>
      </c>
      <c r="H117" s="16">
        <v>719.87489727523644</v>
      </c>
      <c r="I117" s="16">
        <v>752.78492978013674</v>
      </c>
      <c r="J117" s="16">
        <v>-9968.9051965449471</v>
      </c>
      <c r="K117" s="16">
        <v>-26993.616474355105</v>
      </c>
      <c r="L117" s="16">
        <v>895.86546648652939</v>
      </c>
      <c r="M117" s="16">
        <v>-8661.0682040418906</v>
      </c>
      <c r="N117" s="16">
        <v>1004.9734586827801</v>
      </c>
      <c r="O117" s="16">
        <v>1056.0638309939354</v>
      </c>
      <c r="P117" s="16">
        <v>1116.981370876387</v>
      </c>
      <c r="Q117" s="16">
        <v>1185.1866986894233</v>
      </c>
      <c r="R117" s="16">
        <v>1253.2154402891217</v>
      </c>
      <c r="S117" s="16">
        <v>1330.6632681651336</v>
      </c>
      <c r="T117" s="16">
        <v>1409.5398358357486</v>
      </c>
      <c r="U117" s="16">
        <v>1484.9606462360371</v>
      </c>
      <c r="V117" s="16">
        <v>1394.9375730752945</v>
      </c>
      <c r="W117" s="16">
        <v>1406.7023108461872</v>
      </c>
      <c r="X117" s="16">
        <v>-62086.968393161893</v>
      </c>
      <c r="Y117" s="16">
        <v>7507.7527414800134</v>
      </c>
      <c r="Z117" s="16">
        <v>3686.3911880492233</v>
      </c>
      <c r="AA117" s="16">
        <v>-49083.972499163821</v>
      </c>
      <c r="AB117" s="16">
        <v>-156620.70587400813</v>
      </c>
      <c r="AC117" s="16">
        <v>-4643.4006439000368</v>
      </c>
      <c r="AD117" s="16">
        <v>79925.641827743966</v>
      </c>
      <c r="AE117" s="16">
        <v>16699.502930653282</v>
      </c>
      <c r="AF117" s="16">
        <v>-41553.684573434293</v>
      </c>
    </row>
    <row r="118" spans="2:32" x14ac:dyDescent="0.2">
      <c r="B118" s="172">
        <v>5</v>
      </c>
      <c r="C118" s="13" t="s">
        <v>100</v>
      </c>
      <c r="D118" s="164"/>
      <c r="E118" s="173" t="s">
        <v>35</v>
      </c>
      <c r="F118" s="17"/>
      <c r="G118" s="16" t="s">
        <v>240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2:32" x14ac:dyDescent="0.2">
      <c r="B119" s="172">
        <v>6</v>
      </c>
      <c r="C119" s="13" t="s">
        <v>174</v>
      </c>
      <c r="D119" s="164"/>
      <c r="E119" s="173" t="s">
        <v>35</v>
      </c>
      <c r="F119" s="17"/>
      <c r="G119" s="16" t="s">
        <v>240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2:32" x14ac:dyDescent="0.2">
      <c r="B120" s="161"/>
      <c r="C120" s="165"/>
      <c r="D120" s="165"/>
      <c r="E120" s="161"/>
      <c r="F120" s="126"/>
    </row>
    <row r="121" spans="2:32" ht="15.75" x14ac:dyDescent="0.25">
      <c r="B121" s="166" t="s">
        <v>78</v>
      </c>
      <c r="C121" s="167"/>
      <c r="D121" s="167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</row>
    <row r="122" spans="2:32" ht="15.75" x14ac:dyDescent="0.25">
      <c r="B122" s="168" t="s">
        <v>14</v>
      </c>
      <c r="C122" s="169" t="s">
        <v>13</v>
      </c>
      <c r="D122" s="169"/>
      <c r="E122" s="170" t="s">
        <v>22</v>
      </c>
      <c r="F122" s="170" t="s">
        <v>37</v>
      </c>
      <c r="G122" s="171" t="s">
        <v>103</v>
      </c>
      <c r="H122" s="171" t="s">
        <v>104</v>
      </c>
      <c r="I122" s="171" t="s">
        <v>105</v>
      </c>
      <c r="J122" s="171" t="s">
        <v>106</v>
      </c>
      <c r="K122" s="171" t="s">
        <v>107</v>
      </c>
      <c r="L122" s="171" t="s">
        <v>108</v>
      </c>
      <c r="M122" s="171" t="s">
        <v>109</v>
      </c>
      <c r="N122" s="171" t="s">
        <v>110</v>
      </c>
      <c r="O122" s="171" t="s">
        <v>111</v>
      </c>
      <c r="P122" s="171" t="s">
        <v>112</v>
      </c>
      <c r="Q122" s="171" t="s">
        <v>113</v>
      </c>
      <c r="R122" s="171" t="s">
        <v>114</v>
      </c>
      <c r="S122" s="171" t="s">
        <v>115</v>
      </c>
      <c r="T122" s="171" t="s">
        <v>116</v>
      </c>
      <c r="U122" s="171" t="s">
        <v>117</v>
      </c>
      <c r="V122" s="171" t="s">
        <v>118</v>
      </c>
      <c r="W122" s="171" t="s">
        <v>119</v>
      </c>
      <c r="X122" s="171" t="s">
        <v>120</v>
      </c>
      <c r="Y122" s="171" t="s">
        <v>121</v>
      </c>
      <c r="Z122" s="171" t="s">
        <v>122</v>
      </c>
      <c r="AA122" s="171" t="s">
        <v>123</v>
      </c>
      <c r="AB122" s="171" t="s">
        <v>124</v>
      </c>
      <c r="AC122" s="171" t="s">
        <v>125</v>
      </c>
      <c r="AD122" s="171" t="s">
        <v>126</v>
      </c>
      <c r="AE122" s="171" t="s">
        <v>127</v>
      </c>
      <c r="AF122" s="171" t="s">
        <v>153</v>
      </c>
    </row>
    <row r="123" spans="2:32" x14ac:dyDescent="0.2">
      <c r="B123" s="172">
        <v>1</v>
      </c>
      <c r="C123" s="13" t="s">
        <v>96</v>
      </c>
      <c r="D123" s="164"/>
      <c r="E123" s="173" t="s">
        <v>35</v>
      </c>
      <c r="F123" s="17">
        <v>67868546.875185356</v>
      </c>
      <c r="G123" s="16">
        <v>0</v>
      </c>
      <c r="H123" s="16">
        <v>2856.4650948047638</v>
      </c>
      <c r="I123" s="16">
        <v>3903.9569376707077</v>
      </c>
      <c r="J123" s="16">
        <v>73026410.892425656</v>
      </c>
      <c r="K123" s="16">
        <v>345531.69154906273</v>
      </c>
      <c r="L123" s="16">
        <v>-565603.27138853073</v>
      </c>
      <c r="M123" s="16">
        <v>-1222082.3984806538</v>
      </c>
      <c r="N123" s="16">
        <v>-1329451.9306424856</v>
      </c>
      <c r="O123" s="16">
        <v>-260263.20471954346</v>
      </c>
      <c r="P123" s="16">
        <v>-3532364.6052322388</v>
      </c>
      <c r="Q123" s="16">
        <v>-3504804.4411334991</v>
      </c>
      <c r="R123" s="16">
        <v>-5082623.2451235056</v>
      </c>
      <c r="S123" s="16">
        <v>-5034291.7787257433</v>
      </c>
      <c r="T123" s="16">
        <v>-4748558.6535935402</v>
      </c>
      <c r="U123" s="16">
        <v>-4470769.3587070704</v>
      </c>
      <c r="V123" s="16">
        <v>60371810.2388978</v>
      </c>
      <c r="W123" s="16">
        <v>-17258960.707721233</v>
      </c>
      <c r="X123" s="16">
        <v>105227399.64547348</v>
      </c>
      <c r="Y123" s="16">
        <v>-51546481.302865028</v>
      </c>
      <c r="Z123" s="16">
        <v>56734908.879548788</v>
      </c>
      <c r="AA123" s="16">
        <v>-70144233.342290401</v>
      </c>
      <c r="AB123" s="16">
        <v>11857909.577004433</v>
      </c>
      <c r="AC123" s="16">
        <v>-18368559.309330463</v>
      </c>
      <c r="AD123" s="16">
        <v>-19380614.397296906</v>
      </c>
      <c r="AE123" s="16">
        <v>-8450379.7234945297</v>
      </c>
      <c r="AF123" s="16">
        <v>-7561393.6509449482</v>
      </c>
    </row>
    <row r="124" spans="2:32" x14ac:dyDescent="0.2">
      <c r="B124" s="172">
        <v>2</v>
      </c>
      <c r="C124" s="13" t="s">
        <v>97</v>
      </c>
      <c r="D124" s="164"/>
      <c r="E124" s="173" t="s">
        <v>35</v>
      </c>
      <c r="F124" s="17">
        <v>67868546.875185356</v>
      </c>
      <c r="G124" s="16">
        <v>0</v>
      </c>
      <c r="H124" s="16">
        <v>2856.4650948047638</v>
      </c>
      <c r="I124" s="16">
        <v>3903.9569376707077</v>
      </c>
      <c r="J124" s="16">
        <v>73026410.892425656</v>
      </c>
      <c r="K124" s="16">
        <v>345531.69154906273</v>
      </c>
      <c r="L124" s="16">
        <v>-565603.27138853073</v>
      </c>
      <c r="M124" s="16">
        <v>-1222082.3984806538</v>
      </c>
      <c r="N124" s="16">
        <v>-1329451.9306424856</v>
      </c>
      <c r="O124" s="16">
        <v>-260263.20471954346</v>
      </c>
      <c r="P124" s="16">
        <v>-3532364.6052322388</v>
      </c>
      <c r="Q124" s="16">
        <v>-3504804.4411334991</v>
      </c>
      <c r="R124" s="16">
        <v>-5082623.2451235056</v>
      </c>
      <c r="S124" s="16">
        <v>-5034291.7787257433</v>
      </c>
      <c r="T124" s="16">
        <v>-4748558.6535935402</v>
      </c>
      <c r="U124" s="16">
        <v>-4470769.3587070704</v>
      </c>
      <c r="V124" s="16">
        <v>60371810.2388978</v>
      </c>
      <c r="W124" s="16">
        <v>-17258960.707721233</v>
      </c>
      <c r="X124" s="16">
        <v>105227399.64547348</v>
      </c>
      <c r="Y124" s="16">
        <v>-51546481.302865028</v>
      </c>
      <c r="Z124" s="16">
        <v>56734908.879548788</v>
      </c>
      <c r="AA124" s="16">
        <v>-70144233.342290401</v>
      </c>
      <c r="AB124" s="16">
        <v>11857909.577004433</v>
      </c>
      <c r="AC124" s="16">
        <v>-18368559.309330463</v>
      </c>
      <c r="AD124" s="16">
        <v>-19380614.397296906</v>
      </c>
      <c r="AE124" s="16">
        <v>-8450379.7234945297</v>
      </c>
      <c r="AF124" s="16">
        <v>-7561393.6509449482</v>
      </c>
    </row>
    <row r="125" spans="2:32" x14ac:dyDescent="0.2">
      <c r="B125" s="172">
        <v>3</v>
      </c>
      <c r="C125" s="13" t="s">
        <v>98</v>
      </c>
      <c r="D125" s="164"/>
      <c r="E125" s="173" t="s">
        <v>35</v>
      </c>
      <c r="F125" s="17">
        <v>71281944.102922097</v>
      </c>
      <c r="G125" s="16">
        <v>0</v>
      </c>
      <c r="H125" s="16">
        <v>24591.701757788658</v>
      </c>
      <c r="I125" s="16">
        <v>36037.709304094315</v>
      </c>
      <c r="J125" s="16">
        <v>73028613.096457601</v>
      </c>
      <c r="K125" s="16">
        <v>433064.90822863579</v>
      </c>
      <c r="L125" s="16">
        <v>-520240.04198861122</v>
      </c>
      <c r="M125" s="16">
        <v>-1177157.0517368317</v>
      </c>
      <c r="N125" s="16">
        <v>-1327781.624946475</v>
      </c>
      <c r="O125" s="16">
        <v>-157656.35572385788</v>
      </c>
      <c r="P125" s="16">
        <v>-3474915.6346951723</v>
      </c>
      <c r="Q125" s="16">
        <v>-3452496.9863029718</v>
      </c>
      <c r="R125" s="16">
        <v>-5005866.8301454782</v>
      </c>
      <c r="S125" s="16">
        <v>-5146436.2687695026</v>
      </c>
      <c r="T125" s="16">
        <v>-4866231.7997099161</v>
      </c>
      <c r="U125" s="16">
        <v>-4477406.6210784912</v>
      </c>
      <c r="V125" s="16">
        <v>63610321.608189106</v>
      </c>
      <c r="W125" s="16">
        <v>-17824983.804181337</v>
      </c>
      <c r="X125" s="16">
        <v>116786702.0783329</v>
      </c>
      <c r="Y125" s="16">
        <v>-56963884.625117779</v>
      </c>
      <c r="Z125" s="16">
        <v>60507401.264276862</v>
      </c>
      <c r="AA125" s="16">
        <v>-76192984.863324642</v>
      </c>
      <c r="AB125" s="16">
        <v>10121612.895712852</v>
      </c>
      <c r="AC125" s="16">
        <v>-17118061.707313061</v>
      </c>
      <c r="AD125" s="16">
        <v>-17370399.306015015</v>
      </c>
      <c r="AE125" s="16">
        <v>-7757812.6377313137</v>
      </c>
      <c r="AF125" s="16">
        <v>-7967165.1546736956</v>
      </c>
    </row>
    <row r="126" spans="2:32" x14ac:dyDescent="0.2">
      <c r="B126" s="172">
        <v>4</v>
      </c>
      <c r="C126" s="13" t="s">
        <v>99</v>
      </c>
      <c r="D126" s="164"/>
      <c r="E126" s="173" t="s">
        <v>35</v>
      </c>
      <c r="F126" s="17">
        <v>28730063.989539184</v>
      </c>
      <c r="G126" s="16">
        <v>0</v>
      </c>
      <c r="H126" s="16">
        <v>22931.909953594208</v>
      </c>
      <c r="I126" s="16">
        <v>33562.944940209389</v>
      </c>
      <c r="J126" s="16">
        <v>40584999.04381454</v>
      </c>
      <c r="K126" s="16">
        <v>163160.76394677162</v>
      </c>
      <c r="L126" s="16">
        <v>44962.903107881546</v>
      </c>
      <c r="M126" s="16">
        <v>74036.499268054962</v>
      </c>
      <c r="N126" s="16">
        <v>109405.32096683979</v>
      </c>
      <c r="O126" s="16">
        <v>100862.90907287598</v>
      </c>
      <c r="P126" s="16">
        <v>28621.119381666183</v>
      </c>
      <c r="Q126" s="16">
        <v>24140.565886259079</v>
      </c>
      <c r="R126" s="16">
        <v>21209.023691415787</v>
      </c>
      <c r="S126" s="16">
        <v>1801.7819769382477</v>
      </c>
      <c r="T126" s="16">
        <v>-41099.895173311234</v>
      </c>
      <c r="U126" s="16">
        <v>37279.963997602463</v>
      </c>
      <c r="V126" s="16">
        <v>-19204552.851435184</v>
      </c>
      <c r="W126" s="16">
        <v>213435.83200097084</v>
      </c>
      <c r="X126" s="16">
        <v>28221734.94083786</v>
      </c>
      <c r="Y126" s="16">
        <v>-20658848.417926788</v>
      </c>
      <c r="Z126" s="16">
        <v>9023231.6543654203</v>
      </c>
      <c r="AA126" s="16">
        <v>-930200.74564409256</v>
      </c>
      <c r="AB126" s="16">
        <v>-4742371.4308962822</v>
      </c>
      <c r="AC126" s="16">
        <v>-1000770.3022503853</v>
      </c>
      <c r="AD126" s="16">
        <v>-2021793.7051870823</v>
      </c>
      <c r="AE126" s="16">
        <v>886564.15530586243</v>
      </c>
      <c r="AF126" s="16">
        <v>-651317.21522462368</v>
      </c>
    </row>
    <row r="127" spans="2:32" x14ac:dyDescent="0.2">
      <c r="B127" s="172">
        <v>5</v>
      </c>
      <c r="C127" s="13" t="s">
        <v>100</v>
      </c>
      <c r="D127" s="164"/>
      <c r="E127" s="173" t="s">
        <v>35</v>
      </c>
      <c r="F127" s="17"/>
      <c r="G127" s="16" t="s">
        <v>240</v>
      </c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2:32" x14ac:dyDescent="0.2">
      <c r="B128" s="172">
        <v>6</v>
      </c>
      <c r="C128" s="13" t="s">
        <v>174</v>
      </c>
      <c r="D128" s="164"/>
      <c r="E128" s="173" t="s">
        <v>35</v>
      </c>
      <c r="F128" s="17"/>
      <c r="G128" s="16" t="s">
        <v>240</v>
      </c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2:32" x14ac:dyDescent="0.2">
      <c r="F129" s="144"/>
    </row>
    <row r="130" spans="2:32" ht="15.75" x14ac:dyDescent="0.25">
      <c r="B130" s="57" t="s">
        <v>191</v>
      </c>
      <c r="C130" s="57"/>
      <c r="D130" s="57"/>
      <c r="E130" s="66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</row>
    <row r="131" spans="2:32" ht="15.75" x14ac:dyDescent="0.25">
      <c r="B131" s="58" t="s">
        <v>14</v>
      </c>
      <c r="C131" s="58" t="s">
        <v>13</v>
      </c>
      <c r="D131" s="58"/>
      <c r="E131" s="62" t="s">
        <v>7</v>
      </c>
      <c r="F131" s="62" t="s">
        <v>37</v>
      </c>
      <c r="G131" s="171" t="s">
        <v>103</v>
      </c>
      <c r="H131" s="171" t="s">
        <v>104</v>
      </c>
      <c r="I131" s="171" t="s">
        <v>105</v>
      </c>
      <c r="J131" s="171" t="s">
        <v>106</v>
      </c>
      <c r="K131" s="171" t="s">
        <v>107</v>
      </c>
      <c r="L131" s="171" t="s">
        <v>108</v>
      </c>
      <c r="M131" s="171" t="s">
        <v>109</v>
      </c>
      <c r="N131" s="171" t="s">
        <v>110</v>
      </c>
      <c r="O131" s="171" t="s">
        <v>111</v>
      </c>
      <c r="P131" s="171" t="s">
        <v>112</v>
      </c>
      <c r="Q131" s="171" t="s">
        <v>113</v>
      </c>
      <c r="R131" s="171" t="s">
        <v>114</v>
      </c>
      <c r="S131" s="171" t="s">
        <v>115</v>
      </c>
      <c r="T131" s="171" t="s">
        <v>116</v>
      </c>
      <c r="U131" s="171" t="s">
        <v>117</v>
      </c>
      <c r="V131" s="171" t="s">
        <v>118</v>
      </c>
      <c r="W131" s="171" t="s">
        <v>119</v>
      </c>
      <c r="X131" s="171" t="s">
        <v>120</v>
      </c>
      <c r="Y131" s="171" t="s">
        <v>121</v>
      </c>
      <c r="Z131" s="171" t="s">
        <v>122</v>
      </c>
      <c r="AA131" s="171" t="s">
        <v>123</v>
      </c>
      <c r="AB131" s="171" t="s">
        <v>124</v>
      </c>
      <c r="AC131" s="171" t="s">
        <v>125</v>
      </c>
      <c r="AD131" s="171" t="s">
        <v>126</v>
      </c>
      <c r="AE131" s="171" t="s">
        <v>127</v>
      </c>
      <c r="AF131" s="171" t="s">
        <v>153</v>
      </c>
    </row>
    <row r="132" spans="2:32" x14ac:dyDescent="0.2">
      <c r="B132" s="172">
        <v>1</v>
      </c>
      <c r="C132" s="115" t="s">
        <v>96</v>
      </c>
      <c r="D132" s="61"/>
      <c r="E132" s="67" t="s">
        <v>35</v>
      </c>
      <c r="F132" s="17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</row>
    <row r="133" spans="2:32" x14ac:dyDescent="0.2">
      <c r="B133" s="172">
        <v>2</v>
      </c>
      <c r="C133" s="115" t="s">
        <v>97</v>
      </c>
      <c r="D133" s="61"/>
      <c r="E133" s="67" t="s">
        <v>35</v>
      </c>
      <c r="F133" s="17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</row>
    <row r="134" spans="2:32" x14ac:dyDescent="0.2">
      <c r="B134" s="172">
        <v>3</v>
      </c>
      <c r="C134" s="115" t="s">
        <v>98</v>
      </c>
      <c r="D134" s="61"/>
      <c r="E134" s="67" t="s">
        <v>35</v>
      </c>
      <c r="F134" s="17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</row>
    <row r="135" spans="2:32" x14ac:dyDescent="0.2">
      <c r="B135" s="172">
        <v>4</v>
      </c>
      <c r="C135" s="115" t="s">
        <v>99</v>
      </c>
      <c r="D135" s="61"/>
      <c r="E135" s="67" t="s">
        <v>35</v>
      </c>
      <c r="F135" s="17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</row>
    <row r="136" spans="2:32" x14ac:dyDescent="0.2">
      <c r="B136" s="172">
        <v>5</v>
      </c>
      <c r="C136" s="115" t="s">
        <v>100</v>
      </c>
      <c r="D136" s="61"/>
      <c r="E136" s="67" t="s">
        <v>35</v>
      </c>
      <c r="F136" s="17"/>
      <c r="G136" s="16" t="s">
        <v>240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2:32" x14ac:dyDescent="0.2">
      <c r="B137" s="172">
        <v>6</v>
      </c>
      <c r="C137" s="115" t="s">
        <v>174</v>
      </c>
      <c r="D137" s="61"/>
      <c r="E137" s="67" t="s">
        <v>35</v>
      </c>
      <c r="F137" s="17"/>
      <c r="G137" s="16" t="s">
        <v>240</v>
      </c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2:32" x14ac:dyDescent="0.2">
      <c r="B138" s="161"/>
      <c r="C138" s="165"/>
      <c r="D138" s="165"/>
      <c r="E138" s="161"/>
      <c r="F138" s="126"/>
      <c r="H138" s="126"/>
      <c r="I138" s="126"/>
    </row>
    <row r="139" spans="2:32" ht="15.75" x14ac:dyDescent="0.25">
      <c r="B139" s="57" t="s">
        <v>204</v>
      </c>
      <c r="C139" s="57"/>
      <c r="D139" s="57"/>
      <c r="E139" s="66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</row>
    <row r="140" spans="2:32" ht="15.75" x14ac:dyDescent="0.25">
      <c r="B140" s="58" t="s">
        <v>14</v>
      </c>
      <c r="C140" s="58" t="s">
        <v>13</v>
      </c>
      <c r="D140" s="58"/>
      <c r="E140" s="62" t="s">
        <v>7</v>
      </c>
      <c r="F140" s="62" t="s">
        <v>37</v>
      </c>
      <c r="G140" s="171" t="s">
        <v>103</v>
      </c>
      <c r="H140" s="171" t="s">
        <v>104</v>
      </c>
      <c r="I140" s="171" t="s">
        <v>105</v>
      </c>
      <c r="J140" s="171" t="s">
        <v>106</v>
      </c>
      <c r="K140" s="171" t="s">
        <v>107</v>
      </c>
      <c r="L140" s="171" t="s">
        <v>108</v>
      </c>
      <c r="M140" s="171" t="s">
        <v>109</v>
      </c>
      <c r="N140" s="171" t="s">
        <v>110</v>
      </c>
      <c r="O140" s="171" t="s">
        <v>111</v>
      </c>
      <c r="P140" s="171" t="s">
        <v>112</v>
      </c>
      <c r="Q140" s="171" t="s">
        <v>113</v>
      </c>
      <c r="R140" s="171" t="s">
        <v>114</v>
      </c>
      <c r="S140" s="171" t="s">
        <v>115</v>
      </c>
      <c r="T140" s="171" t="s">
        <v>116</v>
      </c>
      <c r="U140" s="171" t="s">
        <v>117</v>
      </c>
      <c r="V140" s="171" t="s">
        <v>118</v>
      </c>
      <c r="W140" s="171" t="s">
        <v>119</v>
      </c>
      <c r="X140" s="171" t="s">
        <v>120</v>
      </c>
      <c r="Y140" s="171" t="s">
        <v>121</v>
      </c>
      <c r="Z140" s="171" t="s">
        <v>122</v>
      </c>
      <c r="AA140" s="171" t="s">
        <v>123</v>
      </c>
      <c r="AB140" s="171" t="s">
        <v>124</v>
      </c>
      <c r="AC140" s="171" t="s">
        <v>125</v>
      </c>
      <c r="AD140" s="171" t="s">
        <v>126</v>
      </c>
      <c r="AE140" s="171" t="s">
        <v>127</v>
      </c>
      <c r="AF140" s="171" t="s">
        <v>153</v>
      </c>
    </row>
    <row r="141" spans="2:32" x14ac:dyDescent="0.2">
      <c r="B141" s="172">
        <v>1</v>
      </c>
      <c r="C141" s="115" t="s">
        <v>96</v>
      </c>
      <c r="D141" s="61"/>
      <c r="E141" s="67" t="s">
        <v>35</v>
      </c>
      <c r="F141" s="17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</row>
    <row r="142" spans="2:32" x14ac:dyDescent="0.2">
      <c r="B142" s="172">
        <v>2</v>
      </c>
      <c r="C142" s="115" t="s">
        <v>97</v>
      </c>
      <c r="D142" s="61"/>
      <c r="E142" s="67" t="s">
        <v>35</v>
      </c>
      <c r="F142" s="17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</row>
    <row r="143" spans="2:32" x14ac:dyDescent="0.2">
      <c r="B143" s="172">
        <v>3</v>
      </c>
      <c r="C143" s="115" t="s">
        <v>98</v>
      </c>
      <c r="D143" s="61"/>
      <c r="E143" s="67" t="s">
        <v>35</v>
      </c>
      <c r="F143" s="17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</row>
    <row r="144" spans="2:32" x14ac:dyDescent="0.2">
      <c r="B144" s="172">
        <v>4</v>
      </c>
      <c r="C144" s="115" t="s">
        <v>99</v>
      </c>
      <c r="D144" s="61"/>
      <c r="E144" s="67" t="s">
        <v>35</v>
      </c>
      <c r="F144" s="17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</row>
    <row r="145" spans="2:32" x14ac:dyDescent="0.2">
      <c r="B145" s="172">
        <v>5</v>
      </c>
      <c r="C145" s="115" t="s">
        <v>100</v>
      </c>
      <c r="D145" s="61"/>
      <c r="E145" s="67" t="s">
        <v>35</v>
      </c>
      <c r="F145" s="17"/>
      <c r="G145" s="16" t="s">
        <v>240</v>
      </c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</row>
    <row r="146" spans="2:32" x14ac:dyDescent="0.2">
      <c r="B146" s="172">
        <v>6</v>
      </c>
      <c r="C146" s="115" t="s">
        <v>174</v>
      </c>
      <c r="D146" s="61"/>
      <c r="E146" s="67" t="s">
        <v>35</v>
      </c>
      <c r="F146" s="17"/>
      <c r="G146" s="16" t="s">
        <v>240</v>
      </c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4782504B59CD43BDF97C5C55CB9D52" ma:contentTypeVersion="1" ma:contentTypeDescription="Create a new document." ma:contentTypeScope="" ma:versionID="245ec07bf3999e5ce729410d237f67a0">
  <xsd:schema xmlns:xsd="http://www.w3.org/2001/XMLSchema" xmlns:xs="http://www.w3.org/2001/XMLSchema" xmlns:p="http://schemas.microsoft.com/office/2006/metadata/properties" xmlns:ns2="9d0d1366-599b-4f21-9efe-be9e1bd6db71" targetNamespace="http://schemas.microsoft.com/office/2006/metadata/properties" ma:root="true" ma:fieldsID="8f49b04f30d4890cf5bd18cb47c60aa0" ns2:_="">
    <xsd:import namespace="9d0d1366-599b-4f21-9efe-be9e1bd6db7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d1366-599b-4f21-9efe-be9e1bd6db7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7061CBA-415D-48D3-8C79-21C27D57DF21}">
  <ds:schemaRefs>
    <ds:schemaRef ds:uri="http://purl.org/dc/terms/"/>
    <ds:schemaRef ds:uri="9d0d1366-599b-4f21-9efe-be9e1bd6db71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7D1C10-F03C-4AA2-B67E-22A87A7DB5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d1366-599b-4f21-9efe-be9e1bd6d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Overview of the model</vt:lpstr>
      <vt:lpstr>Interface and charts</vt:lpstr>
      <vt:lpstr>For presentation</vt:lpstr>
      <vt:lpstr>Preliminary results</vt:lpstr>
      <vt:lpstr>Chart tables</vt:lpstr>
      <vt:lpstr>Option inputs</vt:lpstr>
      <vt:lpstr>CBA Inputs</vt:lpstr>
      <vt:lpstr>Central</vt:lpstr>
      <vt:lpstr>Slow</vt:lpstr>
      <vt:lpstr>Step</vt:lpstr>
      <vt:lpstr>Fast</vt:lpstr>
      <vt:lpstr>Weighted</vt:lpstr>
      <vt:lpstr>Weighted 2</vt:lpstr>
      <vt:lpstr>AnalysisPeriod</vt:lpstr>
      <vt:lpstr>BaseYear</vt:lpstr>
      <vt:lpstr>CapitalCost_ACTIVE</vt:lpstr>
      <vt:lpstr>CapitalCost_Base</vt:lpstr>
      <vt:lpstr>CapitalCost_High</vt:lpstr>
      <vt:lpstr>CapitalCost_Low</vt:lpstr>
      <vt:lpstr>CapitalCost_Selection</vt:lpstr>
      <vt:lpstr>DiscountRate_ACTIVE</vt:lpstr>
      <vt:lpstr>DiscountRate_Central</vt:lpstr>
      <vt:lpstr>DiscountRate_High</vt:lpstr>
      <vt:lpstr>DiscountRate_Low</vt:lpstr>
      <vt:lpstr>DiscountRate_Selection</vt:lpstr>
      <vt:lpstr>FirstYear</vt:lpstr>
      <vt:lpstr>Central!NPV_Results_V</vt:lpstr>
      <vt:lpstr>Fast!NPV_Results_V</vt:lpstr>
      <vt:lpstr>Slow!NPV_Results_V</vt:lpstr>
      <vt:lpstr>Step!NPV_Results_V</vt:lpstr>
      <vt:lpstr>Weighted!NPV_Results_V</vt:lpstr>
      <vt:lpstr>'Weighted 2'!NPV_Results_V</vt:lpstr>
      <vt:lpstr>Scenario_Select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Lulu Shao</cp:lastModifiedBy>
  <dcterms:created xsi:type="dcterms:W3CDTF">2014-04-05T12:28:10Z</dcterms:created>
  <dcterms:modified xsi:type="dcterms:W3CDTF">2021-08-18T01:23:22Z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0x010100064782504B59CD43BDF97C5C55CB9D52</vt:lpwstr>
  </property>
</Properties>
</file>